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defaultThemeVersion="166925"/>
  <mc:AlternateContent xmlns:mc="http://schemas.openxmlformats.org/markup-compatibility/2006">
    <mc:Choice Requires="x15">
      <x15ac:absPath xmlns:x15ac="http://schemas.microsoft.com/office/spreadsheetml/2010/11/ac" url="L:\VCM (nieuwe structuur)\Projectwerking\Lopende VCM-projecten\UNIR - Vlaanderen Circulair\Rekentool\"/>
    </mc:Choice>
  </mc:AlternateContent>
  <xr:revisionPtr revIDLastSave="0" documentId="13_ncr:1_{00F96799-B930-4EAD-B821-495E5E57A09E}" xr6:coauthVersionLast="45" xr6:coauthVersionMax="45" xr10:uidLastSave="{00000000-0000-0000-0000-000000000000}"/>
  <workbookProtection workbookAlgorithmName="SHA-512" workbookHashValue="Ziu5Cku1pbbwpC1roXFNtGpkaNe2B9npCNeqn765/otXp7LvPfxItxwmkmMH/vJ41zKF8gYSAmOZ31FtDKTI5g==" workbookSaltValue="SWkxsyFYSgtatQ6nsQxxcw==" workbookSpinCount="100000" lockStructure="1"/>
  <bookViews>
    <workbookView xWindow="47880" yWindow="-120" windowWidth="29040" windowHeight="15840" xr2:uid="{85345CF3-150C-4EBE-B595-F380A6DCB6E8}"/>
  </bookViews>
  <sheets>
    <sheet name="Voorblad" sheetId="4" r:id="rId1"/>
    <sheet name="Werkwijze" sheetId="5" r:id="rId2"/>
    <sheet name="Algemene gegevens" sheetId="1" r:id="rId3"/>
    <sheet name="Mogelijkheden" sheetId="2" r:id="rId4"/>
    <sheet name="Berekeningen" sheetId="3" r:id="rId5"/>
    <sheet name="Conclusies" sheetId="6"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C8" i="6" l="1"/>
  <c r="V8" i="6"/>
  <c r="N8" i="6"/>
  <c r="G8" i="6"/>
  <c r="L19" i="1" l="1"/>
  <c r="T6" i="3"/>
  <c r="T31" i="3"/>
  <c r="M19" i="3" l="1"/>
  <c r="T7" i="3" l="1"/>
  <c r="T19" i="3"/>
  <c r="M7" i="3"/>
  <c r="M17" i="3" s="1"/>
  <c r="F10" i="3"/>
  <c r="F16" i="3" s="1"/>
  <c r="F18" i="3" s="1"/>
  <c r="T30" i="3"/>
  <c r="F6" i="3"/>
  <c r="F7" i="3" s="1"/>
  <c r="F29" i="3"/>
  <c r="F28" i="3"/>
  <c r="T29" i="3"/>
  <c r="R34" i="3" s="1"/>
  <c r="E19" i="1"/>
  <c r="F27" i="3" s="1"/>
  <c r="D32" i="3" s="1"/>
  <c r="T9" i="3" l="1"/>
  <c r="T17" i="3"/>
  <c r="B45" i="3"/>
  <c r="M9" i="3"/>
  <c r="M10" i="3" s="1"/>
  <c r="M20" i="3" s="1"/>
  <c r="M14" i="3"/>
  <c r="M15" i="3" s="1"/>
  <c r="T14" i="3"/>
  <c r="T15" i="3" s="1"/>
  <c r="F19" i="3"/>
  <c r="F17" i="3"/>
  <c r="D33" i="3"/>
  <c r="F32" i="3"/>
  <c r="T34" i="3"/>
  <c r="R35" i="3"/>
  <c r="T35" i="3" s="1"/>
  <c r="P40" i="3"/>
  <c r="P44" i="3"/>
  <c r="P48" i="3"/>
  <c r="P41" i="3"/>
  <c r="P45" i="3"/>
  <c r="P42" i="3"/>
  <c r="P46" i="3"/>
  <c r="P39" i="3"/>
  <c r="P43" i="3"/>
  <c r="P47" i="3"/>
  <c r="B43" i="3"/>
  <c r="B42" i="3"/>
  <c r="B44" i="3"/>
  <c r="B46" i="3"/>
  <c r="B41" i="3"/>
  <c r="B39" i="3"/>
  <c r="B40" i="3"/>
  <c r="B37" i="3"/>
  <c r="B38" i="3"/>
  <c r="AC15" i="6" l="1"/>
  <c r="M21" i="3"/>
  <c r="M24" i="3" s="1"/>
  <c r="T10" i="3"/>
  <c r="T20" i="3" s="1"/>
  <c r="T12" i="3"/>
  <c r="M12" i="3"/>
  <c r="R36" i="3"/>
  <c r="R37" i="3" s="1"/>
  <c r="F33" i="3"/>
  <c r="D34" i="3"/>
  <c r="AC21" i="6" l="1"/>
  <c r="M22" i="3"/>
  <c r="M25" i="3" s="1"/>
  <c r="T21" i="3"/>
  <c r="T22" i="3" s="1"/>
  <c r="T25" i="3" s="1"/>
  <c r="T36" i="3"/>
  <c r="R38" i="3"/>
  <c r="T37" i="3"/>
  <c r="D35" i="3"/>
  <c r="F34" i="3"/>
  <c r="T24" i="3" l="1"/>
  <c r="R39" i="3"/>
  <c r="T38" i="3"/>
  <c r="D36" i="3"/>
  <c r="F35" i="3"/>
  <c r="R40" i="3" l="1"/>
  <c r="T39" i="3"/>
  <c r="F36" i="3"/>
  <c r="D37" i="3"/>
  <c r="R41" i="3" l="1"/>
  <c r="T40" i="3"/>
  <c r="D38" i="3"/>
  <c r="F37" i="3"/>
  <c r="R42" i="3" l="1"/>
  <c r="T41" i="3"/>
  <c r="F38" i="3"/>
  <c r="D39" i="3"/>
  <c r="R43" i="3" l="1"/>
  <c r="T42" i="3"/>
  <c r="D40" i="3"/>
  <c r="F39" i="3"/>
  <c r="R44" i="3" l="1"/>
  <c r="T43" i="3"/>
  <c r="F40" i="3"/>
  <c r="D41" i="3"/>
  <c r="R45" i="3" l="1"/>
  <c r="T44" i="3"/>
  <c r="F41" i="3"/>
  <c r="D42" i="3"/>
  <c r="R46" i="3" l="1"/>
  <c r="T45" i="3"/>
  <c r="D43" i="3"/>
  <c r="F42" i="3"/>
  <c r="R47" i="3" l="1"/>
  <c r="T46" i="3"/>
  <c r="F43" i="3"/>
  <c r="D44" i="3"/>
  <c r="R48" i="3" l="1"/>
  <c r="T48" i="3" s="1"/>
  <c r="T47" i="3"/>
  <c r="D45" i="3"/>
  <c r="F44" i="3"/>
  <c r="V34" i="3" l="1"/>
  <c r="V15" i="6" s="1"/>
  <c r="F45" i="3"/>
  <c r="D46" i="3"/>
  <c r="F46" i="3" s="1"/>
  <c r="H32" i="3" l="1"/>
  <c r="N15" i="6"/>
  <c r="N21" i="6"/>
  <c r="V21" i="6"/>
  <c r="G21" i="6"/>
  <c r="G15" i="6"/>
  <c r="G30" i="6" l="1"/>
  <c r="B33" i="6" s="1"/>
  <c r="B29" i="6" l="1"/>
</calcChain>
</file>

<file path=xl/sharedStrings.xml><?xml version="1.0" encoding="utf-8"?>
<sst xmlns="http://schemas.openxmlformats.org/spreadsheetml/2006/main" count="253" uniqueCount="155">
  <si>
    <t>ALGEMENE GEGEVENS</t>
  </si>
  <si>
    <t>ha</t>
  </si>
  <si>
    <t>kg N/ha</t>
  </si>
  <si>
    <t xml:space="preserve">Te bemesten oppervlakte </t>
  </si>
  <si>
    <t xml:space="preserve">Nodige bemesting </t>
  </si>
  <si>
    <t>Perceelgegevens</t>
  </si>
  <si>
    <t>Gegevens spuiwater</t>
  </si>
  <si>
    <t>Gegevens urean</t>
  </si>
  <si>
    <t>l/ha</t>
  </si>
  <si>
    <t>Inhoud spuiwater</t>
  </si>
  <si>
    <t>%N</t>
  </si>
  <si>
    <t>Kostprijs spuiwater</t>
  </si>
  <si>
    <t>€/l</t>
  </si>
  <si>
    <t>of</t>
  </si>
  <si>
    <t>€/ton</t>
  </si>
  <si>
    <t>kg/ha</t>
  </si>
  <si>
    <t>Inhoud urean</t>
  </si>
  <si>
    <t>kg N/100l</t>
  </si>
  <si>
    <t>Kosten opslag</t>
  </si>
  <si>
    <t>Afschrijving opslag</t>
  </si>
  <si>
    <t>jaar</t>
  </si>
  <si>
    <t>Opslagtank spui (30.000 liter)</t>
  </si>
  <si>
    <t>Opslagtank urean (30.000 liter)</t>
  </si>
  <si>
    <t>Mengsysteem</t>
  </si>
  <si>
    <t>Mengtanks (10x 1000 liter)</t>
  </si>
  <si>
    <t>€</t>
  </si>
  <si>
    <t>Kosten machine</t>
  </si>
  <si>
    <t>Afschrijving machines</t>
  </si>
  <si>
    <t>Zaaimachine</t>
  </si>
  <si>
    <t>Aardappelfrees</t>
  </si>
  <si>
    <t>Aangepaste graslandinjecteur</t>
  </si>
  <si>
    <t>Andere</t>
  </si>
  <si>
    <t>Andere kosten</t>
  </si>
  <si>
    <t>Analysekost</t>
  </si>
  <si>
    <t>Kostprijs loonwerker</t>
  </si>
  <si>
    <t>€/ha</t>
  </si>
  <si>
    <t>MOGELIJKHEDEN</t>
  </si>
  <si>
    <t>Toepassen van product</t>
  </si>
  <si>
    <t>Enkel urean toepassen</t>
  </si>
  <si>
    <t>Combinatie van urean en spuiwater toepassen</t>
  </si>
  <si>
    <t>1000 liter spuiwater/ha met aanvulling urean</t>
  </si>
  <si>
    <t>Zelf samengestelde combinatie van spuiwater met urean</t>
  </si>
  <si>
    <t>Opslag en uitrijmogelijkheid spuiwater</t>
  </si>
  <si>
    <t>Eigen opslag</t>
  </si>
  <si>
    <t>Geen eigen opslag</t>
  </si>
  <si>
    <t>Zelf uitrijden</t>
  </si>
  <si>
    <t>Zelf uitrijden (spuiwater ophalen)</t>
  </si>
  <si>
    <t>Door loonwerker laten uitvoeren</t>
  </si>
  <si>
    <t>Kostprijs zelf uitrijden</t>
  </si>
  <si>
    <t>BEREKENINGEN</t>
  </si>
  <si>
    <t>Totaal:</t>
  </si>
  <si>
    <t>Totale investering opslag:</t>
  </si>
  <si>
    <t>Afschrijving opslag:</t>
  </si>
  <si>
    <t>Jaar</t>
  </si>
  <si>
    <t>Af te korten bedrag</t>
  </si>
  <si>
    <t>interest</t>
  </si>
  <si>
    <t>%</t>
  </si>
  <si>
    <t>Interest financiering jaarlijks:</t>
  </si>
  <si>
    <t>Te bemesten oppervlakte</t>
  </si>
  <si>
    <t>Algemeen</t>
  </si>
  <si>
    <t>Hoeveelheid N nodig</t>
  </si>
  <si>
    <t>kg N</t>
  </si>
  <si>
    <t>Enkel bemesting met kunstmest (urean)</t>
  </si>
  <si>
    <t>WERKWIJZE</t>
  </si>
  <si>
    <t>Hoeveelheid urean nodig</t>
  </si>
  <si>
    <t>kg N/kg</t>
  </si>
  <si>
    <t>Soortelijk gewicht urean</t>
  </si>
  <si>
    <t>kg/l</t>
  </si>
  <si>
    <t>kg urean</t>
  </si>
  <si>
    <t>Kost aankoop urean</t>
  </si>
  <si>
    <t>Combinatie met 1000l spuiwater/ha + urean</t>
  </si>
  <si>
    <t>Combinatie  van spuiwater + urean (eigen combinatie)</t>
  </si>
  <si>
    <t>kg N/kg urean</t>
  </si>
  <si>
    <t>Hoeveelheid spuiwater</t>
  </si>
  <si>
    <t>Hoeveelheid N uit spuiwater</t>
  </si>
  <si>
    <t>Hoeveelheid urean bijkomend nodig</t>
  </si>
  <si>
    <t>Totale hoeveelheid gemengd product</t>
  </si>
  <si>
    <t>Totale kost combinate spui en urean</t>
  </si>
  <si>
    <t>Kost aankoop spuiwater</t>
  </si>
  <si>
    <t>Conclusies</t>
  </si>
  <si>
    <t>Totale kost voor zelf toepassen van enkel kunstmest (urean)</t>
  </si>
  <si>
    <t>Totale kost voor laten toepassen door loonwerker van enkel kunstmest (urean)</t>
  </si>
  <si>
    <t>Totale kost voor zelf toepassen van combinatie 1000l spuiwater/ha aangevuld met kunstmest (urean)</t>
  </si>
  <si>
    <t>Totale kost voor zelf toepassen van eigen gekozen hoeveelheid voor combinatie spuiwater met kunstmest (urean)</t>
  </si>
  <si>
    <t>Totale kost voor laten toepassen door loonwerker van combinatie 1000l spuiwater/ha aangevuld met kunstmest (urean)</t>
  </si>
  <si>
    <t>Totale kost voor laten toepassen door loonwerker van eigen gekozen hoeveelheid voor combinatie spuiwater met kunstmest (urean)</t>
  </si>
  <si>
    <t>Kostprijs urean</t>
  </si>
  <si>
    <t>Gemiddelde interest</t>
  </si>
  <si>
    <t>Besparing t.o.v. aankoop pure kunstmest</t>
  </si>
  <si>
    <t>Interest financiering jaarlijks (opslag)</t>
  </si>
  <si>
    <t>Interest financiering jaarlijks (machine)</t>
  </si>
  <si>
    <t>REKENTOOL SPUIWATER</t>
  </si>
  <si>
    <t>Laatste update:</t>
  </si>
  <si>
    <t>Doelstelling:</t>
  </si>
  <si>
    <t>Deze rekentool gaat na welke combinatie voor de toepassing van spuiwater het voordeligst is. Dit in vergelijking met pure bemesting van kunstmest (urean), zonder toevoeging van spuiwater.</t>
  </si>
  <si>
    <t>Disclaimer:</t>
  </si>
  <si>
    <t>- Dit document mag enkel gebruikt worden mits toestemming van de auteurs én enkel in het kader van voorlichtingsdoeleinden</t>
  </si>
  <si>
    <t>- Alle gegevens worden met discretie behandeld</t>
  </si>
  <si>
    <t>- De tool dient met kennis van zaken gebruikt te worden en met de nodige omzichtigheid. Laat u eventueel hierbij bijstaan door uw adviseur!</t>
  </si>
  <si>
    <t>- De bekomen resultaten uit de tool geven enkel een idee en zijn nooit een exacte waarde</t>
  </si>
  <si>
    <t>Auteurs:</t>
  </si>
  <si>
    <t>VCM vzw</t>
  </si>
  <si>
    <t>- Wij geven geen enkele garantie inzake de juistheid of de volledigheid, of bijgewerkt zijn van de informatie die op dit systeem werd geraadpleegd of via dit systeem werd uitgewisseld</t>
  </si>
  <si>
    <t>Opmerking:</t>
  </si>
  <si>
    <t>Meer info:</t>
  </si>
  <si>
    <t>https://www.vcm-mestverwerking.be/nl/kenniscentrum/2726/spuiwater</t>
  </si>
  <si>
    <t>Maximaal 1250 liter spuiwater/ha toepassen</t>
  </si>
  <si>
    <t>© Foto VCM (spuittoestel J. Hindrickx)</t>
  </si>
  <si>
    <t>Methode</t>
  </si>
  <si>
    <t>- Met de verkregen gegevens berekent de tool de kost voor de toepassing van spuiwater in combinatie met kunstmest (urean)</t>
  </si>
  <si>
    <t>- Dit resultaat kan vergeleken worden met de kost voor de toepassing van pure kunstmest (urean)</t>
  </si>
  <si>
    <t>- Door het vergelijken van de verschillende mogelijkheden wordt bekeken welke toepassing het voordeligst kan zijn op uw bedrijf</t>
  </si>
  <si>
    <t>- Deze tool werd initieel ingevuld met een fictief voorbeeld</t>
  </si>
  <si>
    <t>Invullen</t>
  </si>
  <si>
    <t>- Enkel cellen in het tabblad 'Algemene gegevens' dienen ingevuld te worden</t>
  </si>
  <si>
    <t>- WITTE cellen mogen, indien gegevens beschikbaaar, ingevuld worden</t>
  </si>
  <si>
    <t>- BLAUWE cellen zijn vaste waarden/formules. In deze cellen NIETS invullen</t>
  </si>
  <si>
    <t>- RODE cellen dienen verplicht ingevuld te worden</t>
  </si>
  <si>
    <t>Tabblad 'Algemene gegevens'</t>
  </si>
  <si>
    <t>- In dit tabblad dienen de algemene gegevens ingevuld te worden waarmee de tool zal rekenen</t>
  </si>
  <si>
    <t>Tabblad 'Mogelijkheden'</t>
  </si>
  <si>
    <t>Tabblad 'Berekeningen'</t>
  </si>
  <si>
    <t>Tabblad 'conclusies'</t>
  </si>
  <si>
    <t>- In dit tabblad worden de verschillende mogelijkheden schematisch weergegeven</t>
  </si>
  <si>
    <t>- In dit tabblad worden enkele berekeningen gemaakt op basis van de ingegeven gegevens uit tabblad 'Algemene gegevens'</t>
  </si>
  <si>
    <t>- In dit tabblad worden de eindtotalen van alle mogelijkheden weergegeven</t>
  </si>
  <si>
    <r>
      <t>Hoeveelheid urean/ha</t>
    </r>
    <r>
      <rPr>
        <sz val="12"/>
        <color rgb="FFFF0000"/>
        <rFont val="Calibri"/>
        <family val="2"/>
        <scheme val="minor"/>
      </rPr>
      <t>**</t>
    </r>
  </si>
  <si>
    <r>
      <t>Kostprijs transport spuiwater</t>
    </r>
    <r>
      <rPr>
        <sz val="12"/>
        <color rgb="FFFF0000"/>
        <rFont val="Calibri"/>
        <family val="2"/>
        <scheme val="minor"/>
      </rPr>
      <t>***</t>
    </r>
  </si>
  <si>
    <r>
      <rPr>
        <sz val="12"/>
        <color rgb="FFFF0000"/>
        <rFont val="Calibri"/>
        <family val="2"/>
        <scheme val="minor"/>
      </rPr>
      <t>**</t>
    </r>
    <r>
      <rPr>
        <sz val="12"/>
        <color theme="1"/>
        <rFont val="Calibri"/>
        <family val="2"/>
        <scheme val="minor"/>
      </rPr>
      <t>: Enkel in te vullen indien gebruik gemaakt wordt van een eigen gekozen hoeveelheid voor de combinatie van spuiwater met kunstmest</t>
    </r>
  </si>
  <si>
    <r>
      <rPr>
        <sz val="12"/>
        <color rgb="FFFF0000"/>
        <rFont val="Calibri"/>
        <family val="2"/>
        <scheme val="minor"/>
      </rPr>
      <t>***</t>
    </r>
    <r>
      <rPr>
        <sz val="12"/>
        <color theme="1"/>
        <rFont val="Calibri"/>
        <family val="2"/>
        <scheme val="minor"/>
      </rPr>
      <t>: Transport naar eigen opslag of transport van spuiwater-producent naar eigen land</t>
    </r>
  </si>
  <si>
    <r>
      <t>Hoeveelheid spui/ha</t>
    </r>
    <r>
      <rPr>
        <sz val="12"/>
        <color rgb="FFFF0000"/>
        <rFont val="Calibri"/>
        <family val="2"/>
        <scheme val="minor"/>
      </rPr>
      <t>*</t>
    </r>
  </si>
  <si>
    <r>
      <rPr>
        <sz val="12"/>
        <color rgb="FFFF0000"/>
        <rFont val="Calibri"/>
        <family val="2"/>
        <scheme val="minor"/>
      </rPr>
      <t>*</t>
    </r>
    <r>
      <rPr>
        <sz val="12"/>
        <color theme="1"/>
        <rFont val="Calibri"/>
        <family val="2"/>
        <scheme val="minor"/>
      </rPr>
      <t>: Indien gebruikt gemaakt wordt van een eigen gekozen hoeveelheid voor de combinatie van spuiwater en kunstmest, vul hier de toegepaste hoeveelheid spuiwater in. Indien niet, vul 1000 in.</t>
    </r>
  </si>
  <si>
    <t>Hoeveelheid urean die vervangen werd door spuiwater</t>
  </si>
  <si>
    <t>Afschrijving opslag (ter info)</t>
  </si>
  <si>
    <t>Afschrijving machines (ter info)</t>
  </si>
  <si>
    <r>
      <t xml:space="preserve">Totale kost wanneer enkel kunstmest wordt toegepast </t>
    </r>
    <r>
      <rPr>
        <b/>
        <sz val="14"/>
        <color theme="0"/>
        <rFont val="Calibri"/>
        <family val="2"/>
        <scheme val="minor"/>
      </rPr>
      <t>(eigen opslag)</t>
    </r>
  </si>
  <si>
    <r>
      <t xml:space="preserve">Totale kost wanneer enkel kunstmest wordt toegepast </t>
    </r>
    <r>
      <rPr>
        <b/>
        <sz val="14"/>
        <color theme="0"/>
        <rFont val="Calibri"/>
        <family val="2"/>
        <scheme val="minor"/>
      </rPr>
      <t>(geen eigen opslag)</t>
    </r>
  </si>
  <si>
    <r>
      <t xml:space="preserve">Totale kost wanneer combinatie van spuiwater met kunstmest wordt toegepast </t>
    </r>
    <r>
      <rPr>
        <b/>
        <sz val="14"/>
        <color theme="0"/>
        <rFont val="Calibri"/>
        <family val="2"/>
        <scheme val="minor"/>
      </rPr>
      <t>(eigen opslag)</t>
    </r>
  </si>
  <si>
    <r>
      <t xml:space="preserve">Totale kost wanneer combinatie van spuiwater met kunstmest wordt toegepast </t>
    </r>
    <r>
      <rPr>
        <b/>
        <sz val="14"/>
        <color theme="0"/>
        <rFont val="Calibri"/>
        <family val="2"/>
        <scheme val="minor"/>
      </rPr>
      <t>(geen eigen opslag)</t>
    </r>
  </si>
  <si>
    <t>- Er wordt door toepassing van spuiwater eveneens zwavelbemesting toegediend, wat de beperkende factor is voor de toediening van spuiwater</t>
  </si>
  <si>
    <t>- Maximum 1000-1250 liter spuiwater/ha toepassen!</t>
  </si>
  <si>
    <t>- Spuiwater en urean kunnen gemengd worden in één tank</t>
  </si>
  <si>
    <t>- Bij aanschaf van een luchtwasser is een onderhoudscontract vereist</t>
  </si>
  <si>
    <t>Goedkoopste mogelijkheid</t>
  </si>
  <si>
    <r>
      <t xml:space="preserve">- Houd er rekening mee dat spuiwater een zuur product is (pH </t>
    </r>
    <r>
      <rPr>
        <sz val="11"/>
        <color theme="1"/>
        <rFont val="Calibri"/>
        <family val="2"/>
      </rPr>
      <t>≈ 1,3 - 4,99)</t>
    </r>
  </si>
  <si>
    <t>- Door de lage pH heeft dit een verzurende werking en is het product corrosief</t>
  </si>
  <si>
    <t>- Er zijn specifieke toepassingstechnieken nodig om spuiwater op het land te brengen</t>
  </si>
  <si>
    <t>VCM</t>
  </si>
  <si>
    <r>
      <t>- Door bemesting met kunstmest (urean) al dan niet in combinatie met spuiwater wordt enkel voldaan aan de stikstofbehoeften van het perceel. Er wordt in deze tool geen rekening gehouden met bemesting van andere nutriënten (P</t>
    </r>
    <r>
      <rPr>
        <b/>
        <vertAlign val="subscript"/>
        <sz val="12"/>
        <color theme="0"/>
        <rFont val="Calibri"/>
        <family val="2"/>
        <scheme val="minor"/>
      </rPr>
      <t>2</t>
    </r>
    <r>
      <rPr>
        <b/>
        <sz val="12"/>
        <color theme="0"/>
        <rFont val="Calibri"/>
        <family val="2"/>
        <scheme val="minor"/>
      </rPr>
      <t>O</t>
    </r>
    <r>
      <rPr>
        <b/>
        <vertAlign val="subscript"/>
        <sz val="12"/>
        <color theme="0"/>
        <rFont val="Calibri"/>
        <family val="2"/>
        <scheme val="minor"/>
      </rPr>
      <t>5</t>
    </r>
    <r>
      <rPr>
        <b/>
        <sz val="12"/>
        <color theme="0"/>
        <rFont val="Calibri"/>
        <family val="2"/>
        <scheme val="minor"/>
      </rPr>
      <t>, K</t>
    </r>
    <r>
      <rPr>
        <b/>
        <vertAlign val="subscript"/>
        <sz val="12"/>
        <color theme="0"/>
        <rFont val="Calibri"/>
        <family val="2"/>
        <scheme val="minor"/>
      </rPr>
      <t>2</t>
    </r>
    <r>
      <rPr>
        <b/>
        <sz val="12"/>
        <color theme="0"/>
        <rFont val="Calibri"/>
        <family val="2"/>
        <scheme val="minor"/>
      </rPr>
      <t>O,…)</t>
    </r>
  </si>
  <si>
    <t>Max. 1250 liter/ha</t>
  </si>
  <si>
    <t>Hoeveelheid zwavel in spuiwater</t>
  </si>
  <si>
    <t>Verhouding S/N</t>
  </si>
  <si>
    <t>- Houd er rekening mee dat spuiwater een zuur product is (pH ≈ 1,3 - 4,99)</t>
  </si>
  <si>
    <t>- Om verbranding van het gewas te voorkomen, dient de pH van het toegepast product minimum 5 te zijn!</t>
  </si>
  <si>
    <t>- Vermijd verbranding van het gewas: de pH van het toegepast product dient minimum 5 te zijn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</si>
</sst>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_ ;\-0.00\ "/>
  </numFmts>
  <fonts count="13" x14ac:knownFonts="1">
    <font>
      <sz val="11"/>
      <color theme="1"/>
      <name val="Calibri"/>
      <family val="2"/>
      <scheme val="minor"/>
    </font>
    <font>
      <b/>
      <sz val="20"/>
      <color theme="0"/>
      <name val="Calibri"/>
      <family val="2"/>
      <scheme val="minor"/>
    </font>
    <font>
      <b/>
      <sz val="14"/>
      <color theme="0"/>
      <name val="Calibri"/>
      <family val="2"/>
      <scheme val="minor"/>
    </font>
    <font>
      <b/>
      <sz val="12"/>
      <color theme="0"/>
      <name val="Calibri"/>
      <family val="2"/>
      <scheme val="minor"/>
    </font>
    <font>
      <sz val="12"/>
      <color theme="0"/>
      <name val="Calibri"/>
      <family val="2"/>
      <scheme val="minor"/>
    </font>
    <font>
      <u/>
      <sz val="11"/>
      <color theme="10"/>
      <name val="Calibri"/>
      <family val="2"/>
      <scheme val="minor"/>
    </font>
    <font>
      <b/>
      <u/>
      <sz val="12"/>
      <color theme="3"/>
      <name val="Calibri"/>
      <family val="2"/>
      <scheme val="minor"/>
    </font>
    <font>
      <sz val="8"/>
      <color theme="4" tint="-0.249977111117893"/>
      <name val="Calibri"/>
      <family val="2"/>
      <scheme val="minor"/>
    </font>
    <font>
      <sz val="12"/>
      <color theme="1"/>
      <name val="Calibri"/>
      <family val="2"/>
      <scheme val="minor"/>
    </font>
    <font>
      <sz val="12"/>
      <color rgb="FFFF0000"/>
      <name val="Calibri"/>
      <family val="2"/>
      <scheme val="minor"/>
    </font>
    <font>
      <sz val="14"/>
      <color theme="0"/>
      <name val="Calibri"/>
      <family val="2"/>
      <scheme val="minor"/>
    </font>
    <font>
      <sz val="11"/>
      <color theme="1"/>
      <name val="Calibri"/>
      <family val="2"/>
    </font>
    <font>
      <b/>
      <vertAlign val="subscript"/>
      <sz val="12"/>
      <color theme="0"/>
      <name val="Calibri"/>
      <family val="2"/>
      <scheme val="minor"/>
    </font>
  </fonts>
  <fills count="6">
    <fill>
      <patternFill patternType="none"/>
    </fill>
    <fill>
      <patternFill patternType="gray125"/>
    </fill>
    <fill>
      <patternFill patternType="solid">
        <fgColor rgb="FF0099CC"/>
        <bgColor indexed="64"/>
      </patternFill>
    </fill>
    <fill>
      <patternFill patternType="solid">
        <fgColor rgb="FF336699"/>
        <bgColor indexed="64"/>
      </patternFill>
    </fill>
    <fill>
      <patternFill patternType="solid">
        <fgColor rgb="FFFFCCCC"/>
        <bgColor indexed="64"/>
      </patternFill>
    </fill>
    <fill>
      <patternFill patternType="solid">
        <fgColor theme="8" tint="0.7999816888943144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5" fillId="0" borderId="0" applyNumberFormat="0" applyFill="0" applyBorder="0" applyAlignment="0" applyProtection="0"/>
  </cellStyleXfs>
  <cellXfs count="119">
    <xf numFmtId="0" fontId="0" fillId="0" borderId="0" xfId="0"/>
    <xf numFmtId="0" fontId="0" fillId="0" borderId="0" xfId="0" applyFill="1"/>
    <xf numFmtId="0" fontId="0" fillId="3" borderId="0" xfId="0" applyFill="1"/>
    <xf numFmtId="0" fontId="1" fillId="2" borderId="0" xfId="0" applyFont="1" applyFill="1" applyAlignment="1">
      <alignment vertical="center"/>
    </xf>
    <xf numFmtId="0" fontId="3" fillId="2" borderId="0" xfId="0" applyFont="1" applyFill="1" applyAlignment="1">
      <alignment vertical="center"/>
    </xf>
    <xf numFmtId="14" fontId="3" fillId="2" borderId="0" xfId="0" applyNumberFormat="1" applyFont="1" applyFill="1" applyAlignment="1">
      <alignment vertical="center"/>
    </xf>
    <xf numFmtId="0" fontId="3" fillId="2" borderId="0" xfId="0" quotePrefix="1" applyFont="1" applyFill="1" applyAlignment="1">
      <alignment vertical="center"/>
    </xf>
    <xf numFmtId="0" fontId="6" fillId="2" borderId="0" xfId="1" applyFont="1" applyFill="1"/>
    <xf numFmtId="0" fontId="1" fillId="2" borderId="0" xfId="0" applyFont="1" applyFill="1" applyAlignment="1">
      <alignment vertical="center" wrapText="1"/>
    </xf>
    <xf numFmtId="0" fontId="0" fillId="2" borderId="0" xfId="0" applyFill="1"/>
    <xf numFmtId="0" fontId="0" fillId="0" borderId="0" xfId="0" quotePrefix="1"/>
    <xf numFmtId="0" fontId="3" fillId="2" borderId="0" xfId="0" applyFont="1" applyFill="1" applyAlignment="1">
      <alignment vertical="top"/>
    </xf>
    <xf numFmtId="0" fontId="1" fillId="2" borderId="0" xfId="0" applyFont="1" applyFill="1" applyAlignment="1">
      <alignment vertical="top"/>
    </xf>
    <xf numFmtId="0" fontId="8" fillId="0" borderId="0" xfId="0" quotePrefix="1" applyFont="1"/>
    <xf numFmtId="0" fontId="4" fillId="3" borderId="0" xfId="0" applyFont="1" applyFill="1"/>
    <xf numFmtId="0" fontId="8" fillId="3" borderId="0" xfId="0" applyFont="1" applyFill="1"/>
    <xf numFmtId="0" fontId="8" fillId="0" borderId="0" xfId="0" applyFont="1" applyFill="1"/>
    <xf numFmtId="0" fontId="8" fillId="0" borderId="0" xfId="0" applyFont="1"/>
    <xf numFmtId="0" fontId="8" fillId="5" borderId="1" xfId="0" applyFont="1" applyFill="1" applyBorder="1"/>
    <xf numFmtId="0" fontId="8" fillId="5" borderId="23" xfId="0" applyFont="1" applyFill="1" applyBorder="1"/>
    <xf numFmtId="0" fontId="8" fillId="5" borderId="24" xfId="0" applyFont="1" applyFill="1" applyBorder="1"/>
    <xf numFmtId="0" fontId="8" fillId="5" borderId="25" xfId="0" applyFont="1" applyFill="1" applyBorder="1" applyAlignment="1">
      <alignment horizontal="right"/>
    </xf>
    <xf numFmtId="0" fontId="8" fillId="0" borderId="0" xfId="0" applyFont="1" applyBorder="1" applyAlignment="1">
      <alignment horizontal="center" vertical="center" wrapText="1"/>
    </xf>
    <xf numFmtId="0" fontId="10" fillId="3" borderId="0" xfId="0" applyFont="1" applyFill="1"/>
    <xf numFmtId="2" fontId="8" fillId="5" borderId="1" xfId="0" applyNumberFormat="1" applyFont="1" applyFill="1" applyBorder="1"/>
    <xf numFmtId="2" fontId="8" fillId="0" borderId="0" xfId="0" applyNumberFormat="1" applyFont="1"/>
    <xf numFmtId="164" fontId="8" fillId="5" borderId="1" xfId="0" applyNumberFormat="1" applyFont="1" applyFill="1" applyBorder="1"/>
    <xf numFmtId="0" fontId="8" fillId="5" borderId="30" xfId="0" applyFont="1" applyFill="1" applyBorder="1"/>
    <xf numFmtId="2" fontId="8" fillId="5" borderId="30" xfId="0" applyNumberFormat="1" applyFont="1" applyFill="1" applyBorder="1"/>
    <xf numFmtId="0" fontId="8" fillId="0" borderId="27" xfId="0" applyFont="1" applyBorder="1" applyAlignment="1">
      <alignment vertical="center"/>
    </xf>
    <xf numFmtId="0" fontId="8" fillId="5" borderId="1" xfId="0" applyFont="1" applyFill="1" applyBorder="1" applyAlignment="1">
      <alignment horizontal="left"/>
    </xf>
    <xf numFmtId="0" fontId="8" fillId="5" borderId="1" xfId="0" applyFont="1" applyFill="1" applyBorder="1" applyAlignment="1">
      <alignment horizontal="center"/>
    </xf>
    <xf numFmtId="0" fontId="8" fillId="5" borderId="26" xfId="0" applyFont="1" applyFill="1" applyBorder="1" applyAlignment="1">
      <alignment horizontal="left" vertical="top"/>
    </xf>
    <xf numFmtId="0" fontId="8" fillId="5" borderId="27" xfId="0" applyFont="1" applyFill="1" applyBorder="1" applyAlignment="1">
      <alignment horizontal="left" vertical="top"/>
    </xf>
    <xf numFmtId="0" fontId="8" fillId="5" borderId="28" xfId="0" applyFont="1" applyFill="1" applyBorder="1" applyAlignment="1">
      <alignment horizontal="left" vertical="top"/>
    </xf>
    <xf numFmtId="0" fontId="8" fillId="5" borderId="23" xfId="0" applyFont="1" applyFill="1" applyBorder="1" applyAlignment="1">
      <alignment horizontal="left" vertical="top"/>
    </xf>
    <xf numFmtId="0" fontId="8" fillId="5" borderId="24" xfId="0" applyFont="1" applyFill="1" applyBorder="1" applyAlignment="1">
      <alignment horizontal="left" vertical="top"/>
    </xf>
    <xf numFmtId="0" fontId="8" fillId="5" borderId="25" xfId="0" applyFont="1" applyFill="1" applyBorder="1" applyAlignment="1">
      <alignment horizontal="left" vertical="top"/>
    </xf>
    <xf numFmtId="0" fontId="2" fillId="3" borderId="0" xfId="0" applyFont="1" applyFill="1"/>
    <xf numFmtId="0" fontId="5" fillId="0" borderId="0" xfId="1" applyAlignment="1">
      <alignment horizontal="center"/>
    </xf>
    <xf numFmtId="0" fontId="8" fillId="5" borderId="20" xfId="0" applyFont="1" applyFill="1" applyBorder="1" applyAlignment="1">
      <alignment horizontal="left"/>
    </xf>
    <xf numFmtId="0" fontId="8" fillId="5" borderId="21" xfId="0" applyFont="1" applyFill="1" applyBorder="1" applyAlignment="1">
      <alignment horizontal="left"/>
    </xf>
    <xf numFmtId="0" fontId="8" fillId="5" borderId="18" xfId="0" applyFont="1" applyFill="1" applyBorder="1" applyAlignment="1">
      <alignment horizontal="left"/>
    </xf>
    <xf numFmtId="0" fontId="8" fillId="4" borderId="1" xfId="0" applyFont="1" applyFill="1" applyBorder="1" applyProtection="1">
      <protection locked="0"/>
    </xf>
    <xf numFmtId="0" fontId="8" fillId="0" borderId="1" xfId="0" applyFont="1" applyBorder="1" applyProtection="1">
      <protection locked="0"/>
    </xf>
    <xf numFmtId="0" fontId="4" fillId="2" borderId="0" xfId="0" quotePrefix="1" applyFont="1" applyFill="1" applyAlignment="1">
      <alignment horizontal="left" vertical="center" wrapText="1"/>
    </xf>
    <xf numFmtId="0" fontId="7" fillId="2" borderId="0" xfId="0" applyFont="1" applyFill="1" applyAlignment="1">
      <alignment horizontal="center" vertical="center"/>
    </xf>
    <xf numFmtId="0" fontId="1" fillId="2" borderId="0" xfId="0" applyFont="1" applyFill="1" applyAlignment="1">
      <alignment horizontal="center" vertical="center"/>
    </xf>
    <xf numFmtId="0" fontId="3" fillId="2" borderId="0" xfId="0" applyFont="1" applyFill="1" applyAlignment="1">
      <alignment horizontal="left" vertical="center" wrapText="1"/>
    </xf>
    <xf numFmtId="0" fontId="3" fillId="2" borderId="0" xfId="0" quotePrefix="1" applyFont="1" applyFill="1" applyAlignment="1">
      <alignment horizontal="left" vertical="center" wrapText="1"/>
    </xf>
    <xf numFmtId="0" fontId="3" fillId="2" borderId="0" xfId="0" quotePrefix="1" applyFont="1" applyFill="1" applyAlignment="1">
      <alignment horizontal="left" vertical="top" wrapText="1"/>
    </xf>
    <xf numFmtId="0" fontId="3" fillId="2" borderId="0" xfId="0" applyFont="1" applyFill="1" applyAlignment="1">
      <alignment horizontal="left" vertical="top" wrapText="1"/>
    </xf>
    <xf numFmtId="0" fontId="8" fillId="5" borderId="20" xfId="0" applyFont="1" applyFill="1" applyBorder="1" applyAlignment="1">
      <alignment horizontal="left"/>
    </xf>
    <xf numFmtId="0" fontId="8" fillId="5" borderId="21" xfId="0" applyFont="1" applyFill="1" applyBorder="1" applyAlignment="1">
      <alignment horizontal="left"/>
    </xf>
    <xf numFmtId="0" fontId="8" fillId="5" borderId="18" xfId="0" applyFont="1" applyFill="1" applyBorder="1" applyAlignment="1">
      <alignment horizontal="left"/>
    </xf>
    <xf numFmtId="0" fontId="8" fillId="5" borderId="23" xfId="0" applyFont="1" applyFill="1" applyBorder="1" applyAlignment="1">
      <alignment horizontal="right"/>
    </xf>
    <xf numFmtId="0" fontId="8" fillId="5" borderId="24" xfId="0" applyFont="1" applyFill="1" applyBorder="1" applyAlignment="1">
      <alignment horizontal="right"/>
    </xf>
    <xf numFmtId="0" fontId="8" fillId="5" borderId="25" xfId="0" applyFont="1" applyFill="1" applyBorder="1" applyAlignment="1">
      <alignment horizontal="right"/>
    </xf>
    <xf numFmtId="0" fontId="8" fillId="5" borderId="23" xfId="0" applyFont="1" applyFill="1" applyBorder="1" applyAlignment="1">
      <alignment horizontal="left"/>
    </xf>
    <xf numFmtId="0" fontId="8" fillId="5" borderId="24" xfId="0" applyFont="1" applyFill="1" applyBorder="1" applyAlignment="1">
      <alignment horizontal="left"/>
    </xf>
    <xf numFmtId="0" fontId="8" fillId="5" borderId="25" xfId="0" applyFont="1" applyFill="1" applyBorder="1" applyAlignment="1">
      <alignment horizontal="left"/>
    </xf>
    <xf numFmtId="0" fontId="8" fillId="5" borderId="1" xfId="0" applyFont="1" applyFill="1" applyBorder="1" applyAlignment="1">
      <alignment horizontal="left"/>
    </xf>
    <xf numFmtId="0" fontId="8" fillId="5" borderId="22" xfId="0" applyFont="1" applyFill="1" applyBorder="1" applyAlignment="1">
      <alignment horizontal="left"/>
    </xf>
    <xf numFmtId="0" fontId="8" fillId="5" borderId="26" xfId="0" applyFont="1" applyFill="1" applyBorder="1" applyAlignment="1">
      <alignment horizontal="left"/>
    </xf>
    <xf numFmtId="0" fontId="8" fillId="5" borderId="27" xfId="0" applyFont="1" applyFill="1" applyBorder="1" applyAlignment="1">
      <alignment horizontal="left"/>
    </xf>
    <xf numFmtId="0" fontId="8" fillId="5" borderId="28" xfId="0" applyFont="1" applyFill="1" applyBorder="1" applyAlignment="1">
      <alignment horizontal="left"/>
    </xf>
    <xf numFmtId="0" fontId="8" fillId="5" borderId="2" xfId="0" applyFont="1" applyFill="1" applyBorder="1" applyAlignment="1">
      <alignment horizontal="center" vertical="center" wrapText="1"/>
    </xf>
    <xf numFmtId="0" fontId="8" fillId="5" borderId="16"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13"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17"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4" fillId="3" borderId="0" xfId="0" applyFont="1" applyFill="1" applyAlignment="1">
      <alignment horizontal="center"/>
    </xf>
    <xf numFmtId="0" fontId="8" fillId="5" borderId="20" xfId="0" applyFont="1" applyFill="1" applyBorder="1" applyAlignment="1">
      <alignment horizontal="right"/>
    </xf>
    <xf numFmtId="0" fontId="8" fillId="5" borderId="18" xfId="0" applyFont="1" applyFill="1" applyBorder="1" applyAlignment="1">
      <alignment horizontal="right"/>
    </xf>
    <xf numFmtId="0" fontId="9" fillId="0" borderId="29" xfId="0" applyFont="1" applyBorder="1" applyAlignment="1">
      <alignment horizontal="left"/>
    </xf>
    <xf numFmtId="0" fontId="9" fillId="0" borderId="0" xfId="0" applyFont="1" applyBorder="1" applyAlignment="1">
      <alignment horizontal="left"/>
    </xf>
    <xf numFmtId="0" fontId="8" fillId="5" borderId="1" xfId="0" applyFont="1" applyFill="1" applyBorder="1" applyAlignment="1">
      <alignment horizontal="right"/>
    </xf>
    <xf numFmtId="0" fontId="8" fillId="5" borderId="26" xfId="0" applyFont="1" applyFill="1" applyBorder="1" applyAlignment="1">
      <alignment horizontal="left" vertical="top" wrapText="1"/>
    </xf>
    <xf numFmtId="0" fontId="8" fillId="5" borderId="27" xfId="0" applyFont="1" applyFill="1" applyBorder="1" applyAlignment="1">
      <alignment horizontal="left" vertical="top" wrapText="1"/>
    </xf>
    <xf numFmtId="0" fontId="8" fillId="5" borderId="28" xfId="0" applyFont="1" applyFill="1" applyBorder="1" applyAlignment="1">
      <alignment horizontal="left" vertical="top" wrapText="1"/>
    </xf>
    <xf numFmtId="0" fontId="8" fillId="5" borderId="23" xfId="0" applyFont="1" applyFill="1" applyBorder="1" applyAlignment="1">
      <alignment horizontal="left" vertical="top" wrapText="1"/>
    </xf>
    <xf numFmtId="0" fontId="8" fillId="5" borderId="24" xfId="0" applyFont="1" applyFill="1" applyBorder="1" applyAlignment="1">
      <alignment horizontal="left" vertical="top" wrapText="1"/>
    </xf>
    <xf numFmtId="0" fontId="8" fillId="5" borderId="25" xfId="0" applyFont="1" applyFill="1" applyBorder="1" applyAlignment="1">
      <alignment horizontal="left" vertical="top" wrapText="1"/>
    </xf>
    <xf numFmtId="0" fontId="8" fillId="5" borderId="1" xfId="0" applyFont="1" applyFill="1" applyBorder="1" applyAlignment="1">
      <alignment horizontal="left" vertical="top" wrapText="1"/>
    </xf>
    <xf numFmtId="0" fontId="8" fillId="5" borderId="1" xfId="0" applyFont="1" applyFill="1" applyBorder="1" applyAlignment="1">
      <alignment horizontal="left" vertical="top"/>
    </xf>
    <xf numFmtId="0" fontId="8" fillId="5" borderId="26" xfId="0" applyFont="1" applyFill="1" applyBorder="1" applyAlignment="1">
      <alignment horizontal="left" vertical="top"/>
    </xf>
    <xf numFmtId="0" fontId="8" fillId="5" borderId="27" xfId="0" applyFont="1" applyFill="1" applyBorder="1" applyAlignment="1">
      <alignment horizontal="left" vertical="top"/>
    </xf>
    <xf numFmtId="0" fontId="8" fillId="5" borderId="28" xfId="0" applyFont="1" applyFill="1" applyBorder="1" applyAlignment="1">
      <alignment horizontal="left" vertical="top"/>
    </xf>
    <xf numFmtId="0" fontId="8" fillId="5" borderId="23" xfId="0" applyFont="1" applyFill="1" applyBorder="1" applyAlignment="1">
      <alignment horizontal="left" vertical="top"/>
    </xf>
    <xf numFmtId="0" fontId="8" fillId="5" borderId="24" xfId="0" applyFont="1" applyFill="1" applyBorder="1" applyAlignment="1">
      <alignment horizontal="left" vertical="top"/>
    </xf>
    <xf numFmtId="0" fontId="8" fillId="5" borderId="25" xfId="0" applyFont="1" applyFill="1" applyBorder="1" applyAlignment="1">
      <alignment horizontal="left" vertical="top"/>
    </xf>
    <xf numFmtId="0" fontId="8" fillId="0" borderId="29" xfId="0" applyFont="1" applyBorder="1" applyAlignment="1">
      <alignment horizontal="left" vertical="center"/>
    </xf>
    <xf numFmtId="2" fontId="8" fillId="5" borderId="22" xfId="0" applyNumberFormat="1" applyFont="1" applyFill="1" applyBorder="1" applyAlignment="1">
      <alignment horizontal="center" vertical="center"/>
    </xf>
    <xf numFmtId="2" fontId="8" fillId="5" borderId="30" xfId="0" applyNumberFormat="1" applyFont="1" applyFill="1" applyBorder="1" applyAlignment="1">
      <alignment horizontal="center" vertical="center"/>
    </xf>
    <xf numFmtId="0" fontId="8" fillId="0" borderId="31" xfId="0" applyFont="1" applyFill="1" applyBorder="1" applyAlignment="1">
      <alignment horizontal="left" vertical="center"/>
    </xf>
    <xf numFmtId="0" fontId="8" fillId="5" borderId="1" xfId="0" applyFont="1" applyFill="1" applyBorder="1" applyAlignment="1">
      <alignment horizontal="center" vertical="center" wrapText="1"/>
    </xf>
    <xf numFmtId="0" fontId="8" fillId="0" borderId="31" xfId="0" applyFont="1" applyBorder="1" applyAlignment="1">
      <alignment horizontal="left" vertical="center"/>
    </xf>
    <xf numFmtId="2" fontId="8" fillId="5" borderId="31" xfId="0" applyNumberFormat="1" applyFont="1" applyFill="1" applyBorder="1" applyAlignment="1">
      <alignment horizontal="center" vertical="center"/>
    </xf>
    <xf numFmtId="0" fontId="8" fillId="5" borderId="1" xfId="0" applyFont="1" applyFill="1" applyBorder="1" applyAlignment="1">
      <alignment horizontal="center" vertical="center"/>
    </xf>
    <xf numFmtId="0" fontId="8" fillId="5" borderId="26" xfId="0" applyFont="1" applyFill="1" applyBorder="1" applyAlignment="1">
      <alignment horizontal="center" vertical="center" wrapText="1"/>
    </xf>
    <xf numFmtId="0" fontId="8" fillId="5" borderId="27" xfId="0" applyFont="1" applyFill="1" applyBorder="1" applyAlignment="1">
      <alignment horizontal="center" vertical="center" wrapText="1"/>
    </xf>
    <xf numFmtId="0" fontId="8" fillId="5" borderId="28" xfId="0" applyFont="1" applyFill="1" applyBorder="1" applyAlignment="1">
      <alignment horizontal="center" vertical="center" wrapText="1"/>
    </xf>
    <xf numFmtId="0" fontId="8" fillId="5" borderId="29" xfId="0" applyFont="1" applyFill="1" applyBorder="1" applyAlignment="1">
      <alignment horizontal="center" vertical="center" wrapText="1"/>
    </xf>
    <xf numFmtId="0" fontId="8" fillId="5" borderId="19" xfId="0" applyFont="1" applyFill="1" applyBorder="1" applyAlignment="1">
      <alignment horizontal="center" vertical="center" wrapText="1"/>
    </xf>
    <xf numFmtId="0" fontId="8" fillId="5" borderId="23" xfId="0" applyFont="1" applyFill="1" applyBorder="1" applyAlignment="1">
      <alignment horizontal="center" vertical="center" wrapText="1"/>
    </xf>
    <xf numFmtId="0" fontId="8" fillId="5" borderId="24" xfId="0" applyFont="1" applyFill="1" applyBorder="1" applyAlignment="1">
      <alignment horizontal="center" vertical="center" wrapText="1"/>
    </xf>
    <xf numFmtId="0" fontId="8" fillId="5" borderId="25" xfId="0" applyFont="1" applyFill="1" applyBorder="1" applyAlignment="1">
      <alignment horizontal="center" vertical="center" wrapText="1"/>
    </xf>
  </cellXfs>
  <cellStyles count="2">
    <cellStyle name="Hyperlink" xfId="1" builtinId="8"/>
    <cellStyle name="Standaard" xfId="0" builtinId="0"/>
  </cellStyles>
  <dxfs count="5">
    <dxf>
      <font>
        <b/>
        <i val="0"/>
        <color rgb="FFFF0000"/>
      </font>
    </dxf>
    <dxf>
      <font>
        <color theme="0"/>
      </font>
    </dxf>
    <dxf>
      <font>
        <color theme="0"/>
      </font>
    </dxf>
    <dxf>
      <font>
        <color theme="0"/>
      </font>
    </dxf>
    <dxf>
      <font>
        <b/>
        <i val="0"/>
        <color rgb="FFFF0000"/>
      </font>
    </dxf>
  </dxfs>
  <tableStyles count="0" defaultTableStyle="TableStyleMedium2" defaultPivotStyle="PivotStyleLight16"/>
  <colors>
    <mruColors>
      <color rgb="FFFFCCCC"/>
      <color rgb="FF0099CC"/>
      <color rgb="FF33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17</xdr:col>
      <xdr:colOff>361949</xdr:colOff>
      <xdr:row>3</xdr:row>
      <xdr:rowOff>112935</xdr:rowOff>
    </xdr:from>
    <xdr:to>
      <xdr:col>26</xdr:col>
      <xdr:colOff>28007</xdr:colOff>
      <xdr:row>21</xdr:row>
      <xdr:rowOff>19000</xdr:rowOff>
    </xdr:to>
    <xdr:pic>
      <xdr:nvPicPr>
        <xdr:cNvPr id="2" name="Afbeelding 1">
          <a:extLst>
            <a:ext uri="{FF2B5EF4-FFF2-40B4-BE49-F238E27FC236}">
              <a16:creationId xmlns:a16="http://schemas.microsoft.com/office/drawing/2014/main" id="{386F8829-1F1B-47F5-9F03-E8B2B4D45118}"/>
            </a:ext>
          </a:extLst>
        </xdr:cNvPr>
        <xdr:cNvPicPr>
          <a:picLocks noChangeAspect="1"/>
        </xdr:cNvPicPr>
      </xdr:nvPicPr>
      <xdr:blipFill>
        <a:blip xmlns:r="http://schemas.openxmlformats.org/officeDocument/2006/relationships" r:embed="rId1"/>
        <a:stretch>
          <a:fillRect/>
        </a:stretch>
      </xdr:blipFill>
      <xdr:spPr>
        <a:xfrm>
          <a:off x="9915524" y="655860"/>
          <a:ext cx="5411538" cy="40589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228600</xdr:colOff>
      <xdr:row>5</xdr:row>
      <xdr:rowOff>19050</xdr:rowOff>
    </xdr:from>
    <xdr:to>
      <xdr:col>7</xdr:col>
      <xdr:colOff>47625</xdr:colOff>
      <xdr:row>8</xdr:row>
      <xdr:rowOff>7620</xdr:rowOff>
    </xdr:to>
    <xdr:cxnSp macro="">
      <xdr:nvCxnSpPr>
        <xdr:cNvPr id="3" name="Rechte verbindingslijn 2">
          <a:extLst>
            <a:ext uri="{FF2B5EF4-FFF2-40B4-BE49-F238E27FC236}">
              <a16:creationId xmlns:a16="http://schemas.microsoft.com/office/drawing/2014/main" id="{DC0D9AF3-397B-4E86-8290-A818563D8A15}"/>
            </a:ext>
          </a:extLst>
        </xdr:cNvPr>
        <xdr:cNvCxnSpPr/>
      </xdr:nvCxnSpPr>
      <xdr:spPr>
        <a:xfrm flipV="1">
          <a:off x="1047750" y="942975"/>
          <a:ext cx="1885950" cy="588645"/>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xdr:colOff>
      <xdr:row>5</xdr:row>
      <xdr:rowOff>19050</xdr:rowOff>
    </xdr:from>
    <xdr:to>
      <xdr:col>8</xdr:col>
      <xdr:colOff>331470</xdr:colOff>
      <xdr:row>8</xdr:row>
      <xdr:rowOff>0</xdr:rowOff>
    </xdr:to>
    <xdr:cxnSp macro="">
      <xdr:nvCxnSpPr>
        <xdr:cNvPr id="5" name="Rechte verbindingslijn 4">
          <a:extLst>
            <a:ext uri="{FF2B5EF4-FFF2-40B4-BE49-F238E27FC236}">
              <a16:creationId xmlns:a16="http://schemas.microsoft.com/office/drawing/2014/main" id="{D3EE6B78-BC28-4829-AAC4-1C50059635E0}"/>
            </a:ext>
          </a:extLst>
        </xdr:cNvPr>
        <xdr:cNvCxnSpPr/>
      </xdr:nvCxnSpPr>
      <xdr:spPr>
        <a:xfrm>
          <a:off x="2933700" y="942975"/>
          <a:ext cx="922020" cy="581025"/>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312420</xdr:colOff>
      <xdr:row>11</xdr:row>
      <xdr:rowOff>0</xdr:rowOff>
    </xdr:from>
    <xdr:to>
      <xdr:col>11</xdr:col>
      <xdr:colOff>333375</xdr:colOff>
      <xdr:row>13</xdr:row>
      <xdr:rowOff>0</xdr:rowOff>
    </xdr:to>
    <xdr:cxnSp macro="">
      <xdr:nvCxnSpPr>
        <xdr:cNvPr id="6" name="Rechte verbindingslijn 5">
          <a:extLst>
            <a:ext uri="{FF2B5EF4-FFF2-40B4-BE49-F238E27FC236}">
              <a16:creationId xmlns:a16="http://schemas.microsoft.com/office/drawing/2014/main" id="{3FF83E53-DA90-4BFC-BA14-79E236CEDFA1}"/>
            </a:ext>
          </a:extLst>
        </xdr:cNvPr>
        <xdr:cNvCxnSpPr/>
      </xdr:nvCxnSpPr>
      <xdr:spPr>
        <a:xfrm>
          <a:off x="4903470" y="2247900"/>
          <a:ext cx="1935480" cy="40005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304800</xdr:colOff>
      <xdr:row>11</xdr:row>
      <xdr:rowOff>9525</xdr:rowOff>
    </xdr:from>
    <xdr:to>
      <xdr:col>8</xdr:col>
      <xdr:colOff>361950</xdr:colOff>
      <xdr:row>13</xdr:row>
      <xdr:rowOff>0</xdr:rowOff>
    </xdr:to>
    <xdr:cxnSp macro="">
      <xdr:nvCxnSpPr>
        <xdr:cNvPr id="7" name="Rechte verbindingslijn 6">
          <a:extLst>
            <a:ext uri="{FF2B5EF4-FFF2-40B4-BE49-F238E27FC236}">
              <a16:creationId xmlns:a16="http://schemas.microsoft.com/office/drawing/2014/main" id="{73283BF7-B9CA-4FFB-8397-8A5FD0B98CDF}"/>
            </a:ext>
          </a:extLst>
        </xdr:cNvPr>
        <xdr:cNvCxnSpPr/>
      </xdr:nvCxnSpPr>
      <xdr:spPr>
        <a:xfrm flipV="1">
          <a:off x="2343150" y="2190750"/>
          <a:ext cx="1971675" cy="36195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190500</xdr:colOff>
      <xdr:row>10</xdr:row>
      <xdr:rowOff>350520</xdr:rowOff>
    </xdr:from>
    <xdr:to>
      <xdr:col>28</xdr:col>
      <xdr:colOff>333375</xdr:colOff>
      <xdr:row>13</xdr:row>
      <xdr:rowOff>0</xdr:rowOff>
    </xdr:to>
    <xdr:cxnSp macro="">
      <xdr:nvCxnSpPr>
        <xdr:cNvPr id="12" name="Rechte verbindingslijn 11">
          <a:extLst>
            <a:ext uri="{FF2B5EF4-FFF2-40B4-BE49-F238E27FC236}">
              <a16:creationId xmlns:a16="http://schemas.microsoft.com/office/drawing/2014/main" id="{5A7B4FDF-6F51-42FA-889B-DDE54FF207C8}"/>
            </a:ext>
          </a:extLst>
        </xdr:cNvPr>
        <xdr:cNvCxnSpPr/>
      </xdr:nvCxnSpPr>
      <xdr:spPr>
        <a:xfrm>
          <a:off x="13439775" y="2236470"/>
          <a:ext cx="1143000" cy="41148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152400</xdr:colOff>
      <xdr:row>5</xdr:row>
      <xdr:rowOff>19050</xdr:rowOff>
    </xdr:from>
    <xdr:to>
      <xdr:col>26</xdr:col>
      <xdr:colOff>236220</xdr:colOff>
      <xdr:row>8</xdr:row>
      <xdr:rowOff>0</xdr:rowOff>
    </xdr:to>
    <xdr:cxnSp macro="">
      <xdr:nvCxnSpPr>
        <xdr:cNvPr id="13" name="Rechte verbindingslijn 12">
          <a:extLst>
            <a:ext uri="{FF2B5EF4-FFF2-40B4-BE49-F238E27FC236}">
              <a16:creationId xmlns:a16="http://schemas.microsoft.com/office/drawing/2014/main" id="{A4582F93-4C8E-4FE8-B7C0-DCA0814E4AA1}"/>
            </a:ext>
          </a:extLst>
        </xdr:cNvPr>
        <xdr:cNvCxnSpPr/>
      </xdr:nvCxnSpPr>
      <xdr:spPr>
        <a:xfrm>
          <a:off x="10134600" y="942975"/>
          <a:ext cx="1864995" cy="581025"/>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295275</xdr:colOff>
      <xdr:row>10</xdr:row>
      <xdr:rowOff>360045</xdr:rowOff>
    </xdr:from>
    <xdr:to>
      <xdr:col>26</xdr:col>
      <xdr:colOff>209550</xdr:colOff>
      <xdr:row>13</xdr:row>
      <xdr:rowOff>0</xdr:rowOff>
    </xdr:to>
    <xdr:cxnSp macro="">
      <xdr:nvCxnSpPr>
        <xdr:cNvPr id="15" name="Rechte verbindingslijn 14">
          <a:extLst>
            <a:ext uri="{FF2B5EF4-FFF2-40B4-BE49-F238E27FC236}">
              <a16:creationId xmlns:a16="http://schemas.microsoft.com/office/drawing/2014/main" id="{94004789-9F79-4C4A-AF0D-95330EDBFA7D}"/>
            </a:ext>
          </a:extLst>
        </xdr:cNvPr>
        <xdr:cNvCxnSpPr/>
      </xdr:nvCxnSpPr>
      <xdr:spPr>
        <a:xfrm flipV="1">
          <a:off x="11630025" y="2179320"/>
          <a:ext cx="1190625" cy="37338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219075</xdr:colOff>
      <xdr:row>11</xdr:row>
      <xdr:rowOff>19050</xdr:rowOff>
    </xdr:from>
    <xdr:to>
      <xdr:col>18</xdr:col>
      <xdr:colOff>114300</xdr:colOff>
      <xdr:row>13</xdr:row>
      <xdr:rowOff>0</xdr:rowOff>
    </xdr:to>
    <xdr:cxnSp macro="">
      <xdr:nvCxnSpPr>
        <xdr:cNvPr id="16" name="Rechte verbindingslijn 15">
          <a:extLst>
            <a:ext uri="{FF2B5EF4-FFF2-40B4-BE49-F238E27FC236}">
              <a16:creationId xmlns:a16="http://schemas.microsoft.com/office/drawing/2014/main" id="{1B52072B-EC96-41CE-A282-9E930303348B}"/>
            </a:ext>
          </a:extLst>
        </xdr:cNvPr>
        <xdr:cNvCxnSpPr/>
      </xdr:nvCxnSpPr>
      <xdr:spPr>
        <a:xfrm flipV="1">
          <a:off x="7553325" y="2266950"/>
          <a:ext cx="847725" cy="38100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112395</xdr:colOff>
      <xdr:row>5</xdr:row>
      <xdr:rowOff>9525</xdr:rowOff>
    </xdr:from>
    <xdr:to>
      <xdr:col>22</xdr:col>
      <xdr:colOff>152400</xdr:colOff>
      <xdr:row>7</xdr:row>
      <xdr:rowOff>190502</xdr:rowOff>
    </xdr:to>
    <xdr:cxnSp macro="">
      <xdr:nvCxnSpPr>
        <xdr:cNvPr id="17" name="Rechte verbindingslijn 16">
          <a:extLst>
            <a:ext uri="{FF2B5EF4-FFF2-40B4-BE49-F238E27FC236}">
              <a16:creationId xmlns:a16="http://schemas.microsoft.com/office/drawing/2014/main" id="{45B5D514-751E-4715-82BC-87D41CB6B8CB}"/>
            </a:ext>
          </a:extLst>
        </xdr:cNvPr>
        <xdr:cNvCxnSpPr/>
      </xdr:nvCxnSpPr>
      <xdr:spPr>
        <a:xfrm flipV="1">
          <a:off x="8399145" y="933450"/>
          <a:ext cx="1735455" cy="581027"/>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112395</xdr:colOff>
      <xdr:row>10</xdr:row>
      <xdr:rowOff>360046</xdr:rowOff>
    </xdr:from>
    <xdr:to>
      <xdr:col>20</xdr:col>
      <xdr:colOff>295275</xdr:colOff>
      <xdr:row>13</xdr:row>
      <xdr:rowOff>0</xdr:rowOff>
    </xdr:to>
    <xdr:cxnSp macro="">
      <xdr:nvCxnSpPr>
        <xdr:cNvPr id="18" name="Rechte verbindingslijn 17">
          <a:extLst>
            <a:ext uri="{FF2B5EF4-FFF2-40B4-BE49-F238E27FC236}">
              <a16:creationId xmlns:a16="http://schemas.microsoft.com/office/drawing/2014/main" id="{0E0C17DC-9F96-4BCE-BD31-8502A85027A2}"/>
            </a:ext>
          </a:extLst>
        </xdr:cNvPr>
        <xdr:cNvCxnSpPr/>
      </xdr:nvCxnSpPr>
      <xdr:spPr>
        <a:xfrm>
          <a:off x="8399145" y="2245996"/>
          <a:ext cx="925830" cy="401954"/>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vcm-mestverwerking.be/nl/kenniscentrum/2726/spuiwate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vcm-mestverwerking.be/nl/kenniscentrum/2726/spuiwat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1E24B-4052-4E32-A2C8-504CADA2C915}">
  <dimension ref="B1:AT40"/>
  <sheetViews>
    <sheetView tabSelected="1" workbookViewId="0">
      <selection activeCell="E5" sqref="E5"/>
    </sheetView>
  </sheetViews>
  <sheetFormatPr defaultRowHeight="14.4" x14ac:dyDescent="0.55000000000000004"/>
  <cols>
    <col min="1" max="1" width="2" customWidth="1"/>
    <col min="2" max="2" width="4.734375" customWidth="1"/>
    <col min="5" max="5" width="11.1015625" bestFit="1" customWidth="1"/>
    <col min="6" max="6" width="5.41796875" customWidth="1"/>
    <col min="15" max="15" width="6.20703125" customWidth="1"/>
    <col min="16" max="16" width="5.68359375" customWidth="1"/>
  </cols>
  <sheetData>
    <row r="1" spans="2:46" ht="14.4" customHeight="1" x14ac:dyDescent="0.55000000000000004">
      <c r="B1" s="47" t="s">
        <v>91</v>
      </c>
      <c r="C1" s="47"/>
      <c r="D1" s="47"/>
      <c r="E1" s="47"/>
      <c r="F1" s="47"/>
      <c r="G1" s="47"/>
      <c r="H1" s="47"/>
      <c r="I1" s="47"/>
      <c r="J1" s="47"/>
      <c r="K1" s="47"/>
      <c r="L1" s="47"/>
      <c r="M1" s="47"/>
      <c r="N1" s="47"/>
      <c r="O1" s="47"/>
      <c r="P1" s="47"/>
      <c r="Q1" s="47"/>
      <c r="R1" s="47"/>
      <c r="S1" s="47"/>
      <c r="T1" s="47"/>
      <c r="U1" s="9"/>
      <c r="V1" s="9"/>
      <c r="W1" s="9"/>
      <c r="X1" s="9"/>
      <c r="Y1" s="9"/>
      <c r="Z1" s="9"/>
      <c r="AA1" s="9"/>
      <c r="AB1" s="9"/>
      <c r="AC1" s="9"/>
      <c r="AD1" s="9"/>
      <c r="AE1" s="9"/>
      <c r="AF1" s="9"/>
      <c r="AG1" s="9"/>
      <c r="AH1" s="9"/>
      <c r="AI1" s="9"/>
      <c r="AJ1" s="9"/>
      <c r="AK1" s="9"/>
      <c r="AL1" s="9"/>
      <c r="AM1" s="9"/>
      <c r="AN1" s="9"/>
      <c r="AO1" s="9"/>
      <c r="AP1" s="9"/>
      <c r="AQ1" s="9"/>
      <c r="AR1" s="9"/>
      <c r="AS1" s="9"/>
      <c r="AT1" s="9"/>
    </row>
    <row r="2" spans="2:46" ht="14.4" customHeight="1" x14ac:dyDescent="0.55000000000000004">
      <c r="B2" s="47"/>
      <c r="C2" s="47"/>
      <c r="D2" s="47"/>
      <c r="E2" s="47"/>
      <c r="F2" s="47"/>
      <c r="G2" s="47"/>
      <c r="H2" s="47"/>
      <c r="I2" s="47"/>
      <c r="J2" s="47"/>
      <c r="K2" s="47"/>
      <c r="L2" s="47"/>
      <c r="M2" s="47"/>
      <c r="N2" s="47"/>
      <c r="O2" s="47"/>
      <c r="P2" s="47"/>
      <c r="Q2" s="47"/>
      <c r="R2" s="47"/>
      <c r="S2" s="47"/>
      <c r="T2" s="47"/>
      <c r="U2" s="9"/>
      <c r="V2" s="9"/>
      <c r="W2" s="9"/>
      <c r="X2" s="9"/>
      <c r="Y2" s="9"/>
      <c r="Z2" s="9"/>
      <c r="AA2" s="9"/>
      <c r="AB2" s="9"/>
      <c r="AC2" s="9"/>
      <c r="AD2" s="9"/>
      <c r="AE2" s="9"/>
      <c r="AF2" s="9"/>
      <c r="AG2" s="9"/>
      <c r="AH2" s="9"/>
      <c r="AI2" s="9"/>
      <c r="AJ2" s="9"/>
      <c r="AK2" s="9"/>
      <c r="AL2" s="9"/>
      <c r="AM2" s="9"/>
      <c r="AN2" s="9"/>
      <c r="AO2" s="9"/>
      <c r="AP2" s="9"/>
      <c r="AQ2" s="9"/>
      <c r="AR2" s="9"/>
      <c r="AS2" s="9"/>
      <c r="AT2" s="9"/>
    </row>
    <row r="3" spans="2:46" ht="14.4" customHeight="1" x14ac:dyDescent="0.55000000000000004">
      <c r="B3" s="47"/>
      <c r="C3" s="47"/>
      <c r="D3" s="47"/>
      <c r="E3" s="47"/>
      <c r="F3" s="47"/>
      <c r="G3" s="47"/>
      <c r="H3" s="47"/>
      <c r="I3" s="47"/>
      <c r="J3" s="47"/>
      <c r="K3" s="47"/>
      <c r="L3" s="47"/>
      <c r="M3" s="47"/>
      <c r="N3" s="47"/>
      <c r="O3" s="47"/>
      <c r="P3" s="47"/>
      <c r="Q3" s="47"/>
      <c r="R3" s="47"/>
      <c r="S3" s="47"/>
      <c r="T3" s="47"/>
      <c r="U3" s="9"/>
      <c r="V3" s="9"/>
      <c r="W3" s="9"/>
      <c r="X3" s="9"/>
      <c r="Y3" s="9"/>
      <c r="Z3" s="9"/>
      <c r="AA3" s="9"/>
      <c r="AB3" s="9"/>
      <c r="AC3" s="9"/>
      <c r="AD3" s="9"/>
      <c r="AE3" s="9"/>
      <c r="AF3" s="9"/>
      <c r="AG3" s="9"/>
      <c r="AH3" s="9"/>
      <c r="AI3" s="9"/>
      <c r="AJ3" s="9"/>
      <c r="AK3" s="9"/>
      <c r="AL3" s="9"/>
      <c r="AM3" s="9"/>
      <c r="AN3" s="9"/>
      <c r="AO3" s="9"/>
      <c r="AP3" s="9"/>
      <c r="AQ3" s="9"/>
      <c r="AR3" s="9"/>
      <c r="AS3" s="9"/>
      <c r="AT3" s="9"/>
    </row>
    <row r="4" spans="2:46" ht="14.4" customHeight="1" x14ac:dyDescent="0.55000000000000004">
      <c r="B4" s="3"/>
      <c r="C4" s="11" t="s">
        <v>92</v>
      </c>
      <c r="D4" s="3"/>
      <c r="E4" s="5">
        <v>43817</v>
      </c>
      <c r="F4" s="3"/>
      <c r="G4" s="3"/>
      <c r="H4" s="3"/>
      <c r="I4" s="3"/>
      <c r="J4" s="3"/>
      <c r="K4" s="3"/>
      <c r="L4" s="3"/>
      <c r="M4" s="3"/>
      <c r="N4" s="3"/>
      <c r="O4" s="3"/>
      <c r="P4" s="3"/>
      <c r="Q4" s="3"/>
      <c r="R4" s="3"/>
      <c r="S4" s="3"/>
      <c r="T4" s="3"/>
      <c r="U4" s="9"/>
      <c r="V4" s="9"/>
      <c r="W4" s="9"/>
      <c r="X4" s="9"/>
      <c r="Y4" s="9"/>
      <c r="Z4" s="9"/>
      <c r="AA4" s="9"/>
      <c r="AB4" s="9"/>
      <c r="AC4" s="9"/>
      <c r="AD4" s="9"/>
      <c r="AE4" s="9"/>
      <c r="AF4" s="9"/>
      <c r="AG4" s="9"/>
      <c r="AH4" s="9"/>
      <c r="AI4" s="9"/>
      <c r="AJ4" s="9"/>
      <c r="AK4" s="9"/>
      <c r="AL4" s="9"/>
      <c r="AM4" s="9"/>
      <c r="AN4" s="9"/>
      <c r="AO4" s="9"/>
      <c r="AP4" s="9"/>
      <c r="AQ4" s="9"/>
      <c r="AR4" s="9"/>
      <c r="AS4" s="9"/>
      <c r="AT4" s="9"/>
    </row>
    <row r="5" spans="2:46" ht="14.4" customHeight="1" x14ac:dyDescent="0.55000000000000004">
      <c r="B5" s="3"/>
      <c r="C5" s="12"/>
      <c r="D5" s="3"/>
      <c r="E5" s="3"/>
      <c r="F5" s="3"/>
      <c r="G5" s="3"/>
      <c r="H5" s="3"/>
      <c r="I5" s="3"/>
      <c r="J5" s="3"/>
      <c r="K5" s="3"/>
      <c r="L5" s="3"/>
      <c r="M5" s="3"/>
      <c r="N5" s="3"/>
      <c r="O5" s="3"/>
      <c r="P5" s="3"/>
      <c r="Q5" s="3"/>
      <c r="R5" s="3"/>
      <c r="S5" s="3"/>
      <c r="T5" s="3"/>
      <c r="U5" s="9"/>
      <c r="V5" s="9"/>
      <c r="W5" s="9"/>
      <c r="X5" s="9"/>
      <c r="Y5" s="9"/>
      <c r="Z5" s="9"/>
      <c r="AA5" s="9"/>
      <c r="AB5" s="9"/>
      <c r="AC5" s="9"/>
      <c r="AD5" s="9"/>
      <c r="AE5" s="9"/>
      <c r="AF5" s="9"/>
      <c r="AG5" s="9"/>
      <c r="AH5" s="9"/>
      <c r="AI5" s="9"/>
      <c r="AJ5" s="9"/>
      <c r="AK5" s="9"/>
      <c r="AL5" s="9"/>
      <c r="AM5" s="9"/>
      <c r="AN5" s="9"/>
      <c r="AO5" s="9"/>
      <c r="AP5" s="9"/>
      <c r="AQ5" s="9"/>
      <c r="AR5" s="9"/>
      <c r="AS5" s="9"/>
      <c r="AT5" s="9"/>
    </row>
    <row r="6" spans="2:46" ht="29.4" customHeight="1" x14ac:dyDescent="0.55000000000000004">
      <c r="B6" s="3"/>
      <c r="C6" s="11" t="s">
        <v>93</v>
      </c>
      <c r="D6" s="3"/>
      <c r="E6" s="48" t="s">
        <v>94</v>
      </c>
      <c r="F6" s="48"/>
      <c r="G6" s="48"/>
      <c r="H6" s="48"/>
      <c r="I6" s="48"/>
      <c r="J6" s="48"/>
      <c r="K6" s="48"/>
      <c r="L6" s="48"/>
      <c r="M6" s="48"/>
      <c r="N6" s="48"/>
      <c r="O6" s="48"/>
      <c r="P6" s="48"/>
      <c r="Q6" s="48"/>
      <c r="R6" s="3"/>
      <c r="S6" s="3"/>
      <c r="T6" s="3"/>
      <c r="U6" s="9"/>
      <c r="V6" s="9"/>
      <c r="W6" s="9"/>
      <c r="X6" s="9"/>
      <c r="Y6" s="9"/>
      <c r="Z6" s="9"/>
      <c r="AA6" s="9"/>
      <c r="AB6" s="9"/>
      <c r="AC6" s="9"/>
      <c r="AD6" s="9"/>
      <c r="AE6" s="9"/>
      <c r="AF6" s="9"/>
      <c r="AG6" s="9"/>
      <c r="AH6" s="9"/>
      <c r="AI6" s="9"/>
      <c r="AJ6" s="9"/>
      <c r="AK6" s="9"/>
      <c r="AL6" s="9"/>
      <c r="AM6" s="9"/>
      <c r="AN6" s="9"/>
      <c r="AO6" s="9"/>
      <c r="AP6" s="9"/>
      <c r="AQ6" s="9"/>
      <c r="AR6" s="9"/>
      <c r="AS6" s="9"/>
      <c r="AT6" s="9"/>
    </row>
    <row r="7" spans="2:46" ht="8.4" customHeight="1" x14ac:dyDescent="0.55000000000000004">
      <c r="B7" s="3"/>
      <c r="C7" s="12"/>
      <c r="D7" s="3"/>
      <c r="E7" s="3"/>
      <c r="F7" s="3"/>
      <c r="G7" s="3"/>
      <c r="H7" s="3"/>
      <c r="I7" s="3"/>
      <c r="J7" s="3"/>
      <c r="K7" s="3"/>
      <c r="L7" s="3"/>
      <c r="M7" s="3"/>
      <c r="N7" s="3"/>
      <c r="O7" s="3"/>
      <c r="P7" s="3"/>
      <c r="Q7" s="3"/>
      <c r="R7" s="3"/>
      <c r="S7" s="3"/>
      <c r="T7" s="3"/>
      <c r="U7" s="9"/>
      <c r="V7" s="9"/>
      <c r="W7" s="9"/>
      <c r="X7" s="9"/>
      <c r="Y7" s="9"/>
      <c r="Z7" s="9"/>
      <c r="AA7" s="9"/>
      <c r="AB7" s="9"/>
      <c r="AC7" s="9"/>
      <c r="AD7" s="9"/>
      <c r="AE7" s="9"/>
      <c r="AF7" s="9"/>
      <c r="AG7" s="9"/>
      <c r="AH7" s="9"/>
      <c r="AI7" s="9"/>
      <c r="AJ7" s="9"/>
      <c r="AK7" s="9"/>
      <c r="AL7" s="9"/>
      <c r="AM7" s="9"/>
      <c r="AN7" s="9"/>
      <c r="AO7" s="9"/>
      <c r="AP7" s="9"/>
      <c r="AQ7" s="9"/>
      <c r="AR7" s="9"/>
      <c r="AS7" s="9"/>
      <c r="AT7" s="9"/>
    </row>
    <row r="8" spans="2:46" ht="32.700000000000003" customHeight="1" x14ac:dyDescent="0.55000000000000004">
      <c r="B8" s="3"/>
      <c r="C8" s="11" t="s">
        <v>95</v>
      </c>
      <c r="D8" s="3"/>
      <c r="E8" s="45" t="s">
        <v>102</v>
      </c>
      <c r="F8" s="45"/>
      <c r="G8" s="45"/>
      <c r="H8" s="45"/>
      <c r="I8" s="45"/>
      <c r="J8" s="45"/>
      <c r="K8" s="45"/>
      <c r="L8" s="45"/>
      <c r="M8" s="45"/>
      <c r="N8" s="45"/>
      <c r="O8" s="45"/>
      <c r="P8" s="45"/>
      <c r="Q8" s="45"/>
      <c r="R8" s="3"/>
      <c r="S8" s="3"/>
      <c r="T8" s="3"/>
      <c r="U8" s="9"/>
      <c r="V8" s="9"/>
      <c r="W8" s="9"/>
      <c r="X8" s="9"/>
      <c r="Y8" s="9"/>
      <c r="Z8" s="9"/>
      <c r="AA8" s="9"/>
      <c r="AB8" s="9"/>
      <c r="AC8" s="9"/>
      <c r="AD8" s="9"/>
      <c r="AE8" s="9"/>
      <c r="AF8" s="9"/>
      <c r="AG8" s="9"/>
      <c r="AH8" s="9"/>
      <c r="AI8" s="9"/>
      <c r="AJ8" s="9"/>
      <c r="AK8" s="9"/>
      <c r="AL8" s="9"/>
      <c r="AM8" s="9"/>
      <c r="AN8" s="9"/>
      <c r="AO8" s="9"/>
      <c r="AP8" s="9"/>
      <c r="AQ8" s="9"/>
      <c r="AR8" s="9"/>
      <c r="AS8" s="9"/>
      <c r="AT8" s="9"/>
    </row>
    <row r="9" spans="2:46" ht="14.4" customHeight="1" x14ac:dyDescent="0.55000000000000004">
      <c r="B9" s="3"/>
      <c r="C9" s="12"/>
      <c r="D9" s="3"/>
      <c r="E9" s="45" t="s">
        <v>96</v>
      </c>
      <c r="F9" s="45"/>
      <c r="G9" s="45"/>
      <c r="H9" s="45"/>
      <c r="I9" s="45"/>
      <c r="J9" s="45"/>
      <c r="K9" s="45"/>
      <c r="L9" s="45"/>
      <c r="M9" s="45"/>
      <c r="N9" s="45"/>
      <c r="O9" s="45"/>
      <c r="P9" s="45"/>
      <c r="Q9" s="45"/>
      <c r="R9" s="3"/>
      <c r="S9" s="3"/>
      <c r="T9" s="3"/>
      <c r="U9" s="9"/>
      <c r="V9" s="9"/>
      <c r="W9" s="9"/>
      <c r="X9" s="9"/>
      <c r="Y9" s="9"/>
      <c r="Z9" s="9"/>
      <c r="AA9" s="9"/>
      <c r="AB9" s="9"/>
      <c r="AC9" s="9"/>
      <c r="AD9" s="9"/>
      <c r="AE9" s="9"/>
      <c r="AF9" s="9"/>
      <c r="AG9" s="9"/>
      <c r="AH9" s="9"/>
      <c r="AI9" s="9"/>
      <c r="AJ9" s="9"/>
      <c r="AK9" s="9"/>
      <c r="AL9" s="9"/>
      <c r="AM9" s="9"/>
      <c r="AN9" s="9"/>
      <c r="AO9" s="9"/>
      <c r="AP9" s="9"/>
      <c r="AQ9" s="9"/>
      <c r="AR9" s="9"/>
      <c r="AS9" s="9"/>
      <c r="AT9" s="9"/>
    </row>
    <row r="10" spans="2:46" ht="14.4" customHeight="1" x14ac:dyDescent="0.55000000000000004">
      <c r="B10" s="3"/>
      <c r="C10" s="12"/>
      <c r="D10" s="3"/>
      <c r="E10" s="45" t="s">
        <v>97</v>
      </c>
      <c r="F10" s="45"/>
      <c r="G10" s="45"/>
      <c r="H10" s="45"/>
      <c r="I10" s="45"/>
      <c r="J10" s="45"/>
      <c r="K10" s="45"/>
      <c r="L10" s="45"/>
      <c r="M10" s="45"/>
      <c r="N10" s="45"/>
      <c r="O10" s="45"/>
      <c r="P10" s="45"/>
      <c r="Q10" s="45"/>
      <c r="R10" s="3"/>
      <c r="S10" s="3"/>
      <c r="T10" s="3"/>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row>
    <row r="11" spans="2:46" ht="29.4" customHeight="1" x14ac:dyDescent="0.55000000000000004">
      <c r="B11" s="3"/>
      <c r="C11" s="12"/>
      <c r="D11" s="3"/>
      <c r="E11" s="45" t="s">
        <v>98</v>
      </c>
      <c r="F11" s="45"/>
      <c r="G11" s="45"/>
      <c r="H11" s="45"/>
      <c r="I11" s="45"/>
      <c r="J11" s="45"/>
      <c r="K11" s="45"/>
      <c r="L11" s="45"/>
      <c r="M11" s="45"/>
      <c r="N11" s="45"/>
      <c r="O11" s="45"/>
      <c r="P11" s="45"/>
      <c r="Q11" s="45"/>
      <c r="R11" s="3"/>
      <c r="S11" s="3"/>
      <c r="T11" s="3"/>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row>
    <row r="12" spans="2:46" ht="14.4" customHeight="1" x14ac:dyDescent="0.55000000000000004">
      <c r="B12" s="3"/>
      <c r="C12" s="12"/>
      <c r="D12" s="3"/>
      <c r="E12" s="45" t="s">
        <v>99</v>
      </c>
      <c r="F12" s="45"/>
      <c r="G12" s="45"/>
      <c r="H12" s="45"/>
      <c r="I12" s="45"/>
      <c r="J12" s="45"/>
      <c r="K12" s="8"/>
      <c r="L12" s="8"/>
      <c r="M12" s="8"/>
      <c r="N12" s="8"/>
      <c r="O12" s="8"/>
      <c r="P12" s="8"/>
      <c r="Q12" s="8"/>
      <c r="R12" s="3"/>
      <c r="S12" s="3"/>
      <c r="T12" s="3"/>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row>
    <row r="13" spans="2:46" ht="7.5" customHeight="1" x14ac:dyDescent="0.55000000000000004">
      <c r="B13" s="3"/>
      <c r="C13" s="12"/>
      <c r="D13" s="3"/>
      <c r="E13" s="4"/>
      <c r="F13" s="3"/>
      <c r="G13" s="3"/>
      <c r="H13" s="3"/>
      <c r="I13" s="3"/>
      <c r="J13" s="3"/>
      <c r="K13" s="3"/>
      <c r="L13" s="3"/>
      <c r="M13" s="3"/>
      <c r="N13" s="3"/>
      <c r="O13" s="3"/>
      <c r="P13" s="3"/>
      <c r="Q13" s="3"/>
      <c r="R13" s="3"/>
      <c r="S13" s="3"/>
      <c r="T13" s="3"/>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row>
    <row r="14" spans="2:46" ht="14.4" customHeight="1" x14ac:dyDescent="0.55000000000000004">
      <c r="B14" s="3"/>
      <c r="C14" s="11" t="s">
        <v>100</v>
      </c>
      <c r="D14" s="3"/>
      <c r="E14" s="4" t="s">
        <v>101</v>
      </c>
      <c r="F14" s="3"/>
      <c r="G14" s="3"/>
      <c r="H14" s="3"/>
      <c r="I14" s="3"/>
      <c r="J14" s="3"/>
      <c r="K14" s="3"/>
      <c r="L14" s="3"/>
      <c r="M14" s="3"/>
      <c r="N14" s="3"/>
      <c r="O14" s="3"/>
      <c r="P14" s="3"/>
      <c r="Q14" s="3"/>
      <c r="R14" s="3"/>
      <c r="S14" s="3"/>
      <c r="T14" s="3"/>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row>
    <row r="15" spans="2:46" ht="5.4" customHeight="1" x14ac:dyDescent="0.55000000000000004">
      <c r="B15" s="3"/>
      <c r="C15" s="12"/>
      <c r="D15" s="3"/>
      <c r="E15" s="4"/>
      <c r="F15" s="3"/>
      <c r="G15" s="3"/>
      <c r="H15" s="3"/>
      <c r="I15" s="3"/>
      <c r="J15" s="3"/>
      <c r="K15" s="3"/>
      <c r="L15" s="3"/>
      <c r="M15" s="3"/>
      <c r="N15" s="3"/>
      <c r="O15" s="3"/>
      <c r="P15" s="3"/>
      <c r="Q15" s="3"/>
      <c r="R15" s="3"/>
      <c r="S15" s="3"/>
      <c r="T15" s="3"/>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row>
    <row r="16" spans="2:46" ht="14.4" customHeight="1" x14ac:dyDescent="0.55000000000000004">
      <c r="B16" s="3"/>
      <c r="C16" s="11" t="s">
        <v>103</v>
      </c>
      <c r="D16" s="3"/>
      <c r="E16" s="49" t="s">
        <v>148</v>
      </c>
      <c r="F16" s="48"/>
      <c r="G16" s="48"/>
      <c r="H16" s="48"/>
      <c r="I16" s="48"/>
      <c r="J16" s="48"/>
      <c r="K16" s="48"/>
      <c r="L16" s="48"/>
      <c r="M16" s="48"/>
      <c r="N16" s="48"/>
      <c r="O16" s="48"/>
      <c r="P16" s="48"/>
      <c r="Q16" s="48"/>
      <c r="R16" s="3"/>
      <c r="S16" s="3"/>
      <c r="T16" s="3"/>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row>
    <row r="17" spans="2:46" ht="36.299999999999997" customHeight="1" x14ac:dyDescent="0.55000000000000004">
      <c r="B17" s="3"/>
      <c r="C17" s="12"/>
      <c r="D17" s="3"/>
      <c r="E17" s="48"/>
      <c r="F17" s="48"/>
      <c r="G17" s="48"/>
      <c r="H17" s="48"/>
      <c r="I17" s="48"/>
      <c r="J17" s="48"/>
      <c r="K17" s="48"/>
      <c r="L17" s="48"/>
      <c r="M17" s="48"/>
      <c r="N17" s="48"/>
      <c r="O17" s="48"/>
      <c r="P17" s="48"/>
      <c r="Q17" s="48"/>
      <c r="R17" s="3"/>
      <c r="S17" s="3"/>
      <c r="T17" s="3"/>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row>
    <row r="18" spans="2:46" ht="36.299999999999997" customHeight="1" x14ac:dyDescent="0.55000000000000004">
      <c r="B18" s="3"/>
      <c r="C18" s="3"/>
      <c r="D18" s="3"/>
      <c r="E18" s="49" t="s">
        <v>139</v>
      </c>
      <c r="F18" s="48"/>
      <c r="G18" s="48"/>
      <c r="H18" s="48"/>
      <c r="I18" s="48"/>
      <c r="J18" s="48"/>
      <c r="K18" s="48"/>
      <c r="L18" s="48"/>
      <c r="M18" s="48"/>
      <c r="N18" s="48"/>
      <c r="O18" s="48"/>
      <c r="P18" s="48"/>
      <c r="Q18" s="48"/>
      <c r="R18" s="3"/>
      <c r="S18" s="3"/>
      <c r="T18" s="3"/>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row>
    <row r="19" spans="2:46" ht="14.4" customHeight="1" x14ac:dyDescent="0.55000000000000004">
      <c r="B19" s="3"/>
      <c r="C19" s="3"/>
      <c r="D19" s="3"/>
      <c r="E19" s="50" t="s">
        <v>152</v>
      </c>
      <c r="F19" s="50"/>
      <c r="G19" s="50"/>
      <c r="H19" s="50"/>
      <c r="I19" s="50"/>
      <c r="J19" s="50"/>
      <c r="K19" s="50"/>
      <c r="L19" s="50"/>
      <c r="M19" s="50"/>
      <c r="N19" s="50"/>
      <c r="O19" s="50"/>
      <c r="P19" s="50"/>
      <c r="Q19" s="50"/>
      <c r="R19" s="3"/>
      <c r="S19" s="3"/>
      <c r="T19" s="3"/>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row>
    <row r="20" spans="2:46" ht="14.4" customHeight="1" x14ac:dyDescent="0.55000000000000004">
      <c r="B20" s="3"/>
      <c r="C20" s="3"/>
      <c r="D20" s="3"/>
      <c r="E20" s="50" t="s">
        <v>153</v>
      </c>
      <c r="F20" s="50"/>
      <c r="G20" s="50"/>
      <c r="H20" s="50"/>
      <c r="I20" s="50"/>
      <c r="J20" s="50"/>
      <c r="K20" s="50"/>
      <c r="L20" s="50"/>
      <c r="M20" s="50"/>
      <c r="N20" s="50"/>
      <c r="O20" s="50"/>
      <c r="P20" s="50"/>
      <c r="Q20" s="50"/>
      <c r="R20" s="3"/>
      <c r="S20" s="3"/>
      <c r="T20" s="3"/>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row>
    <row r="21" spans="2:46" ht="14.4" customHeight="1" x14ac:dyDescent="0.55000000000000004">
      <c r="B21" s="3"/>
      <c r="C21" s="3"/>
      <c r="D21" s="3"/>
      <c r="E21" s="50" t="s">
        <v>140</v>
      </c>
      <c r="F21" s="51"/>
      <c r="G21" s="51"/>
      <c r="H21" s="51"/>
      <c r="I21" s="51"/>
      <c r="J21" s="51"/>
      <c r="K21" s="51"/>
      <c r="L21" s="3"/>
      <c r="M21" s="3"/>
      <c r="N21" s="3"/>
      <c r="O21" s="3"/>
      <c r="P21" s="3"/>
      <c r="Q21" s="3"/>
      <c r="R21" s="3"/>
      <c r="S21" s="3"/>
      <c r="T21" s="3"/>
      <c r="U21" s="9"/>
      <c r="V21" s="9"/>
      <c r="W21" s="9"/>
      <c r="X21" s="46" t="s">
        <v>107</v>
      </c>
      <c r="Y21" s="46"/>
      <c r="Z21" s="46"/>
      <c r="AA21" s="9"/>
      <c r="AB21" s="9"/>
      <c r="AC21" s="9"/>
      <c r="AD21" s="9"/>
      <c r="AE21" s="9"/>
      <c r="AF21" s="9"/>
      <c r="AG21" s="9"/>
      <c r="AH21" s="9"/>
      <c r="AI21" s="9"/>
      <c r="AJ21" s="9"/>
      <c r="AK21" s="9"/>
      <c r="AL21" s="9"/>
      <c r="AM21" s="9"/>
      <c r="AN21" s="9"/>
      <c r="AO21" s="9"/>
      <c r="AP21" s="9"/>
      <c r="AQ21" s="9"/>
      <c r="AR21" s="9"/>
      <c r="AS21" s="9"/>
      <c r="AT21" s="9"/>
    </row>
    <row r="22" spans="2:46" ht="14.4" customHeight="1" x14ac:dyDescent="0.55000000000000004">
      <c r="B22" s="3"/>
      <c r="C22" s="3"/>
      <c r="D22" s="3"/>
      <c r="E22" s="6" t="s">
        <v>141</v>
      </c>
      <c r="F22" s="3"/>
      <c r="G22" s="3"/>
      <c r="H22" s="3"/>
      <c r="I22" s="3"/>
      <c r="J22" s="3"/>
      <c r="K22" s="3"/>
      <c r="L22" s="3"/>
      <c r="M22" s="3"/>
      <c r="N22" s="3"/>
      <c r="O22" s="3"/>
      <c r="P22" s="3"/>
      <c r="Q22" s="3"/>
      <c r="R22" s="3"/>
      <c r="S22" s="3"/>
      <c r="T22" s="3"/>
      <c r="U22" s="9"/>
      <c r="V22" s="9"/>
      <c r="W22" s="9"/>
      <c r="X22" s="46"/>
      <c r="Y22" s="46"/>
      <c r="Z22" s="46"/>
      <c r="AA22" s="9"/>
      <c r="AB22" s="9"/>
      <c r="AC22" s="9"/>
      <c r="AD22" s="9"/>
      <c r="AE22" s="9"/>
      <c r="AF22" s="9"/>
      <c r="AG22" s="9"/>
      <c r="AH22" s="9"/>
      <c r="AI22" s="9"/>
      <c r="AJ22" s="9"/>
      <c r="AK22" s="9"/>
      <c r="AL22" s="9"/>
      <c r="AM22" s="9"/>
      <c r="AN22" s="9"/>
      <c r="AO22" s="9"/>
      <c r="AP22" s="9"/>
      <c r="AQ22" s="9"/>
      <c r="AR22" s="9"/>
      <c r="AS22" s="9"/>
      <c r="AT22" s="9"/>
    </row>
    <row r="23" spans="2:46" ht="14.4" customHeight="1" x14ac:dyDescent="0.55000000000000004">
      <c r="B23" s="3"/>
      <c r="C23" s="3"/>
      <c r="D23" s="3"/>
      <c r="E23" s="6" t="s">
        <v>142</v>
      </c>
      <c r="F23" s="3"/>
      <c r="G23" s="3"/>
      <c r="H23" s="3"/>
      <c r="I23" s="3"/>
      <c r="J23" s="3"/>
      <c r="K23" s="3"/>
      <c r="L23" s="3"/>
      <c r="M23" s="3"/>
      <c r="N23" s="3"/>
      <c r="O23" s="3"/>
      <c r="P23" s="3"/>
      <c r="Q23" s="3"/>
      <c r="R23" s="3"/>
      <c r="S23" s="3"/>
      <c r="T23" s="3"/>
      <c r="U23" s="9"/>
      <c r="V23" s="9"/>
      <c r="W23" s="9"/>
      <c r="X23" s="46"/>
      <c r="Y23" s="46"/>
      <c r="Z23" s="46"/>
      <c r="AA23" s="9"/>
      <c r="AB23" s="9"/>
      <c r="AC23" s="9"/>
      <c r="AD23" s="9"/>
      <c r="AE23" s="9"/>
      <c r="AF23" s="9"/>
      <c r="AG23" s="9"/>
      <c r="AH23" s="9"/>
      <c r="AI23" s="9"/>
      <c r="AJ23" s="9"/>
      <c r="AK23" s="9"/>
      <c r="AL23" s="9"/>
      <c r="AM23" s="9"/>
      <c r="AN23" s="9"/>
      <c r="AO23" s="9"/>
      <c r="AP23" s="9"/>
      <c r="AQ23" s="9"/>
      <c r="AR23" s="9"/>
      <c r="AS23" s="9"/>
      <c r="AT23" s="9"/>
    </row>
    <row r="24" spans="2:46" ht="14.4" customHeight="1" x14ac:dyDescent="0.55000000000000004">
      <c r="B24" s="3"/>
      <c r="C24" s="3"/>
      <c r="D24" s="3"/>
      <c r="E24" s="4"/>
      <c r="F24" s="3"/>
      <c r="G24" s="3"/>
      <c r="H24" s="3"/>
      <c r="I24" s="3"/>
      <c r="J24" s="3"/>
      <c r="K24" s="3"/>
      <c r="L24" s="3"/>
      <c r="M24" s="3"/>
      <c r="N24" s="3"/>
      <c r="O24" s="3"/>
      <c r="P24" s="3"/>
      <c r="Q24" s="3"/>
      <c r="R24" s="3"/>
      <c r="S24" s="3"/>
      <c r="T24" s="3"/>
      <c r="U24" s="9"/>
      <c r="V24" s="9"/>
      <c r="W24" s="9"/>
      <c r="X24" s="46"/>
      <c r="Y24" s="46"/>
      <c r="Z24" s="46"/>
      <c r="AA24" s="9"/>
      <c r="AB24" s="9"/>
      <c r="AC24" s="9"/>
      <c r="AD24" s="9"/>
      <c r="AE24" s="9"/>
      <c r="AF24" s="9"/>
      <c r="AG24" s="9"/>
      <c r="AH24" s="9"/>
      <c r="AI24" s="9"/>
      <c r="AJ24" s="9"/>
      <c r="AK24" s="9"/>
      <c r="AL24" s="9"/>
      <c r="AM24" s="9"/>
      <c r="AN24" s="9"/>
      <c r="AO24" s="9"/>
      <c r="AP24" s="9"/>
      <c r="AQ24" s="9"/>
      <c r="AR24" s="9"/>
      <c r="AS24" s="9"/>
      <c r="AT24" s="9"/>
    </row>
    <row r="25" spans="2:46" ht="14.4" customHeight="1" x14ac:dyDescent="0.55000000000000004">
      <c r="B25" s="3"/>
      <c r="C25" s="3"/>
      <c r="D25" s="3"/>
      <c r="E25" s="4"/>
      <c r="F25" s="3"/>
      <c r="G25" s="3"/>
      <c r="H25" s="3"/>
      <c r="I25" s="3"/>
      <c r="J25" s="3"/>
      <c r="K25" s="3"/>
      <c r="L25" s="3"/>
      <c r="M25" s="3"/>
      <c r="N25" s="3"/>
      <c r="O25" s="3"/>
      <c r="P25" s="3"/>
      <c r="Q25" s="3"/>
      <c r="R25" s="3"/>
      <c r="S25" s="3"/>
      <c r="T25" s="3"/>
      <c r="U25" s="9"/>
      <c r="V25" s="9"/>
      <c r="W25" s="9"/>
      <c r="X25" s="46"/>
      <c r="Y25" s="46"/>
      <c r="Z25" s="46"/>
      <c r="AA25" s="9"/>
      <c r="AB25" s="9"/>
      <c r="AC25" s="9"/>
      <c r="AD25" s="9"/>
      <c r="AE25" s="9"/>
      <c r="AF25" s="9"/>
      <c r="AG25" s="9"/>
      <c r="AH25" s="9"/>
      <c r="AI25" s="9"/>
      <c r="AJ25" s="9"/>
      <c r="AK25" s="9"/>
      <c r="AL25" s="9"/>
      <c r="AM25" s="9"/>
      <c r="AN25" s="9"/>
      <c r="AO25" s="9"/>
      <c r="AP25" s="9"/>
      <c r="AQ25" s="9"/>
      <c r="AR25" s="9"/>
      <c r="AS25" s="9"/>
      <c r="AT25" s="9"/>
    </row>
    <row r="26" spans="2:46" ht="14.4" customHeight="1" x14ac:dyDescent="0.6">
      <c r="B26" s="3"/>
      <c r="C26" s="4" t="s">
        <v>104</v>
      </c>
      <c r="D26" s="3"/>
      <c r="E26" s="7" t="s">
        <v>105</v>
      </c>
      <c r="F26" s="3"/>
      <c r="G26" s="3"/>
      <c r="H26" s="3"/>
      <c r="I26" s="3"/>
      <c r="J26" s="3"/>
      <c r="K26" s="3"/>
      <c r="L26" s="3"/>
      <c r="M26" s="3"/>
      <c r="N26" s="3"/>
      <c r="O26" s="3"/>
      <c r="P26" s="3"/>
      <c r="Q26" s="3"/>
      <c r="R26" s="3"/>
      <c r="S26" s="3"/>
      <c r="T26" s="3"/>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row>
    <row r="27" spans="2:46" ht="14.4" customHeight="1" x14ac:dyDescent="0.55000000000000004">
      <c r="B27" s="3"/>
      <c r="C27" s="3"/>
      <c r="D27" s="3"/>
      <c r="E27" s="4"/>
      <c r="F27" s="3"/>
      <c r="G27" s="3"/>
      <c r="H27" s="3"/>
      <c r="I27" s="3"/>
      <c r="J27" s="3"/>
      <c r="K27" s="3"/>
      <c r="L27" s="3"/>
      <c r="M27" s="3"/>
      <c r="N27" s="3"/>
      <c r="O27" s="3"/>
      <c r="P27" s="3"/>
      <c r="Q27" s="3"/>
      <c r="R27" s="3"/>
      <c r="S27" s="3"/>
      <c r="T27" s="3"/>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row>
    <row r="28" spans="2:46" ht="14.4" customHeight="1" x14ac:dyDescent="0.55000000000000004">
      <c r="B28" s="3"/>
      <c r="C28" s="3"/>
      <c r="D28" s="3"/>
      <c r="E28" s="3"/>
      <c r="F28" s="3"/>
      <c r="G28" s="3"/>
      <c r="H28" s="3"/>
      <c r="I28" s="3"/>
      <c r="J28" s="3"/>
      <c r="K28" s="3"/>
      <c r="L28" s="3"/>
      <c r="M28" s="3"/>
      <c r="N28" s="3"/>
      <c r="O28" s="3"/>
      <c r="P28" s="3"/>
      <c r="Q28" s="3"/>
      <c r="R28" s="3"/>
      <c r="S28" s="3"/>
      <c r="T28" s="3"/>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row>
    <row r="29" spans="2:46" ht="14.4" customHeight="1" x14ac:dyDescent="0.55000000000000004">
      <c r="B29" s="3"/>
      <c r="C29" s="3"/>
      <c r="D29" s="3"/>
      <c r="E29" s="3"/>
      <c r="F29" s="3"/>
      <c r="G29" s="3"/>
      <c r="H29" s="3"/>
      <c r="I29" s="3"/>
      <c r="J29" s="3"/>
      <c r="K29" s="3"/>
      <c r="L29" s="3"/>
      <c r="M29" s="3"/>
      <c r="N29" s="3"/>
      <c r="O29" s="3"/>
      <c r="P29" s="3"/>
      <c r="Q29" s="3"/>
      <c r="R29" s="3"/>
      <c r="S29" s="3"/>
      <c r="T29" s="3"/>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row>
    <row r="30" spans="2:46" ht="14.4" customHeight="1" x14ac:dyDescent="0.55000000000000004">
      <c r="B30" s="3"/>
      <c r="C30" s="3"/>
      <c r="D30" s="3"/>
      <c r="E30" s="3"/>
      <c r="F30" s="3"/>
      <c r="G30" s="3"/>
      <c r="H30" s="3"/>
      <c r="I30" s="3"/>
      <c r="J30" s="3"/>
      <c r="K30" s="3"/>
      <c r="L30" s="3"/>
      <c r="M30" s="3"/>
      <c r="N30" s="3"/>
      <c r="O30" s="3"/>
      <c r="P30" s="3"/>
      <c r="Q30" s="3"/>
      <c r="R30" s="3"/>
      <c r="S30" s="3"/>
      <c r="T30" s="3"/>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row>
    <row r="31" spans="2:46" ht="14.4" customHeight="1" x14ac:dyDescent="0.55000000000000004">
      <c r="B31" s="3"/>
      <c r="C31" s="3"/>
      <c r="D31" s="3"/>
      <c r="E31" s="3"/>
      <c r="F31" s="3"/>
      <c r="G31" s="3"/>
      <c r="H31" s="3"/>
      <c r="I31" s="3"/>
      <c r="J31" s="3"/>
      <c r="K31" s="3"/>
      <c r="L31" s="3"/>
      <c r="M31" s="3"/>
      <c r="N31" s="3"/>
      <c r="O31" s="3"/>
      <c r="P31" s="3"/>
      <c r="Q31" s="3"/>
      <c r="R31" s="3"/>
      <c r="S31" s="3"/>
      <c r="T31" s="3"/>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row>
    <row r="32" spans="2:46" x14ac:dyDescent="0.55000000000000004">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row>
    <row r="33" spans="2:46" x14ac:dyDescent="0.55000000000000004">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row>
    <row r="34" spans="2:46" x14ac:dyDescent="0.55000000000000004">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row>
    <row r="35" spans="2:46" x14ac:dyDescent="0.55000000000000004">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row>
    <row r="36" spans="2:46" x14ac:dyDescent="0.55000000000000004">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row>
    <row r="37" spans="2:46" x14ac:dyDescent="0.55000000000000004">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row>
    <row r="38" spans="2:46" x14ac:dyDescent="0.55000000000000004">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row>
    <row r="39" spans="2:46" x14ac:dyDescent="0.55000000000000004">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row>
    <row r="40" spans="2:46" x14ac:dyDescent="0.55000000000000004">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row>
  </sheetData>
  <sheetProtection algorithmName="SHA-512" hashValue="eCGPhBOgiHEtu/wNCW8PwFQJgWpJGDPi75jSZUQkVFFr7G/0FJninB0jgnCdpcCHPXr9hh4slq97ZnZCffFv+g==" saltValue="ErHD793+JmT/cygtMAbk1g==" spinCount="100000" sheet="1" objects="1" scenarios="1"/>
  <mergeCells count="13">
    <mergeCell ref="E11:Q11"/>
    <mergeCell ref="X21:Z25"/>
    <mergeCell ref="B1:T3"/>
    <mergeCell ref="E6:Q6"/>
    <mergeCell ref="E8:Q8"/>
    <mergeCell ref="E9:Q9"/>
    <mergeCell ref="E10:Q10"/>
    <mergeCell ref="E12:J12"/>
    <mergeCell ref="E16:Q17"/>
    <mergeCell ref="E18:Q18"/>
    <mergeCell ref="E21:K21"/>
    <mergeCell ref="E19:Q19"/>
    <mergeCell ref="E20:Q20"/>
  </mergeCells>
  <hyperlinks>
    <hyperlink ref="E26" r:id="rId1" xr:uid="{C20BA844-FF25-48DF-9BBE-22E0B9966E2B}"/>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9A344-511E-4123-AB4B-C3AB3F5847B6}">
  <dimension ref="B1:R32"/>
  <sheetViews>
    <sheetView showGridLines="0" workbookViewId="0">
      <selection activeCell="N33" sqref="N33"/>
    </sheetView>
  </sheetViews>
  <sheetFormatPr defaultRowHeight="14.4" x14ac:dyDescent="0.55000000000000004"/>
  <cols>
    <col min="1" max="1" width="1.578125" customWidth="1"/>
  </cols>
  <sheetData>
    <row r="1" spans="2:18" ht="14.4" customHeight="1" x14ac:dyDescent="0.55000000000000004">
      <c r="B1" s="47" t="s">
        <v>63</v>
      </c>
      <c r="C1" s="47"/>
      <c r="D1" s="47"/>
      <c r="E1" s="47"/>
      <c r="F1" s="47"/>
      <c r="G1" s="47"/>
      <c r="H1" s="47"/>
      <c r="I1" s="47"/>
      <c r="J1" s="47"/>
      <c r="K1" s="47"/>
      <c r="L1" s="47"/>
      <c r="M1" s="47"/>
      <c r="N1" s="47"/>
      <c r="O1" s="47"/>
      <c r="P1" s="47"/>
      <c r="Q1" s="47"/>
      <c r="R1" s="47"/>
    </row>
    <row r="2" spans="2:18" ht="14.4" customHeight="1" x14ac:dyDescent="0.55000000000000004">
      <c r="B2" s="47"/>
      <c r="C2" s="47"/>
      <c r="D2" s="47"/>
      <c r="E2" s="47"/>
      <c r="F2" s="47"/>
      <c r="G2" s="47"/>
      <c r="H2" s="47"/>
      <c r="I2" s="47"/>
      <c r="J2" s="47"/>
      <c r="K2" s="47"/>
      <c r="L2" s="47"/>
      <c r="M2" s="47"/>
      <c r="N2" s="47"/>
      <c r="O2" s="47"/>
      <c r="P2" s="47"/>
      <c r="Q2" s="47"/>
      <c r="R2" s="47"/>
    </row>
    <row r="3" spans="2:18" ht="14.4" customHeight="1" x14ac:dyDescent="0.55000000000000004">
      <c r="B3" s="47"/>
      <c r="C3" s="47"/>
      <c r="D3" s="47"/>
      <c r="E3" s="47"/>
      <c r="F3" s="47"/>
      <c r="G3" s="47"/>
      <c r="H3" s="47"/>
      <c r="I3" s="47"/>
      <c r="J3" s="47"/>
      <c r="K3" s="47"/>
      <c r="L3" s="47"/>
      <c r="M3" s="47"/>
      <c r="N3" s="47"/>
      <c r="O3" s="47"/>
      <c r="P3" s="47"/>
      <c r="Q3" s="47"/>
      <c r="R3" s="47"/>
    </row>
    <row r="5" spans="2:18" ht="18.3" x14ac:dyDescent="0.7">
      <c r="B5" s="23" t="s">
        <v>108</v>
      </c>
      <c r="C5" s="2"/>
      <c r="D5" s="2"/>
      <c r="E5" s="2"/>
      <c r="F5" s="2"/>
      <c r="G5" s="2"/>
      <c r="H5" s="2"/>
      <c r="I5" s="2"/>
      <c r="J5" s="2"/>
      <c r="K5" s="2"/>
      <c r="L5" s="2"/>
      <c r="M5" s="2"/>
      <c r="N5" s="2"/>
      <c r="O5" s="2"/>
      <c r="P5" s="2"/>
      <c r="Q5" s="2"/>
      <c r="R5" s="2"/>
    </row>
    <row r="6" spans="2:18" ht="15.6" x14ac:dyDescent="0.6">
      <c r="B6" s="13" t="s">
        <v>109</v>
      </c>
    </row>
    <row r="7" spans="2:18" ht="15.6" x14ac:dyDescent="0.6">
      <c r="B7" s="13" t="s">
        <v>110</v>
      </c>
    </row>
    <row r="8" spans="2:18" ht="15.6" x14ac:dyDescent="0.6">
      <c r="B8" s="13" t="s">
        <v>111</v>
      </c>
    </row>
    <row r="9" spans="2:18" ht="15.6" x14ac:dyDescent="0.6">
      <c r="B9" s="13" t="s">
        <v>112</v>
      </c>
    </row>
    <row r="12" spans="2:18" ht="18.3" x14ac:dyDescent="0.7">
      <c r="B12" s="23" t="s">
        <v>113</v>
      </c>
      <c r="C12" s="2"/>
      <c r="D12" s="2"/>
      <c r="E12" s="2"/>
      <c r="F12" s="2"/>
      <c r="G12" s="2"/>
      <c r="H12" s="2"/>
      <c r="I12" s="2"/>
      <c r="J12" s="2"/>
      <c r="K12" s="2"/>
      <c r="L12" s="2"/>
      <c r="M12" s="2"/>
      <c r="N12" s="2"/>
      <c r="O12" s="2"/>
      <c r="P12" s="2"/>
      <c r="Q12" s="2"/>
      <c r="R12" s="2"/>
    </row>
    <row r="13" spans="2:18" x14ac:dyDescent="0.55000000000000004">
      <c r="B13" s="10" t="s">
        <v>114</v>
      </c>
    </row>
    <row r="14" spans="2:18" x14ac:dyDescent="0.55000000000000004">
      <c r="B14" s="10" t="s">
        <v>117</v>
      </c>
    </row>
    <row r="15" spans="2:18" x14ac:dyDescent="0.55000000000000004">
      <c r="B15" s="10" t="s">
        <v>115</v>
      </c>
    </row>
    <row r="16" spans="2:18" x14ac:dyDescent="0.55000000000000004">
      <c r="B16" s="10" t="s">
        <v>116</v>
      </c>
    </row>
    <row r="19" spans="2:18" ht="18.3" x14ac:dyDescent="0.7">
      <c r="B19" s="23" t="s">
        <v>118</v>
      </c>
      <c r="C19" s="2"/>
      <c r="D19" s="2"/>
      <c r="E19" s="2"/>
      <c r="F19" s="2"/>
      <c r="G19" s="2"/>
      <c r="H19" s="2"/>
      <c r="I19" s="2"/>
      <c r="J19" s="2"/>
      <c r="K19" s="2"/>
      <c r="L19" s="2"/>
      <c r="M19" s="2"/>
      <c r="N19" s="2"/>
      <c r="O19" s="2"/>
      <c r="P19" s="2"/>
      <c r="Q19" s="2"/>
      <c r="R19" s="2"/>
    </row>
    <row r="20" spans="2:18" x14ac:dyDescent="0.55000000000000004">
      <c r="B20" s="10" t="s">
        <v>119</v>
      </c>
    </row>
    <row r="23" spans="2:18" ht="18.3" x14ac:dyDescent="0.7">
      <c r="B23" s="23" t="s">
        <v>120</v>
      </c>
      <c r="C23" s="2"/>
      <c r="D23" s="2"/>
      <c r="E23" s="2"/>
      <c r="F23" s="2"/>
      <c r="G23" s="2"/>
      <c r="H23" s="2"/>
      <c r="I23" s="2"/>
      <c r="J23" s="2"/>
      <c r="K23" s="2"/>
      <c r="L23" s="2"/>
      <c r="M23" s="2"/>
      <c r="N23" s="2"/>
      <c r="O23" s="2"/>
      <c r="P23" s="2"/>
      <c r="Q23" s="2"/>
      <c r="R23" s="2"/>
    </row>
    <row r="24" spans="2:18" x14ac:dyDescent="0.55000000000000004">
      <c r="B24" s="10" t="s">
        <v>123</v>
      </c>
    </row>
    <row r="27" spans="2:18" ht="18.3" x14ac:dyDescent="0.7">
      <c r="B27" s="23" t="s">
        <v>121</v>
      </c>
      <c r="C27" s="2"/>
      <c r="D27" s="2"/>
      <c r="E27" s="2"/>
      <c r="F27" s="2"/>
      <c r="G27" s="2"/>
      <c r="H27" s="2"/>
      <c r="I27" s="2"/>
      <c r="J27" s="2"/>
      <c r="K27" s="2"/>
      <c r="L27" s="2"/>
      <c r="M27" s="2"/>
      <c r="N27" s="2"/>
      <c r="O27" s="2"/>
      <c r="P27" s="2"/>
      <c r="Q27" s="2"/>
      <c r="R27" s="2"/>
    </row>
    <row r="28" spans="2:18" x14ac:dyDescent="0.55000000000000004">
      <c r="B28" s="10" t="s">
        <v>124</v>
      </c>
    </row>
    <row r="31" spans="2:18" ht="18.3" x14ac:dyDescent="0.7">
      <c r="B31" s="23" t="s">
        <v>122</v>
      </c>
      <c r="C31" s="2"/>
      <c r="D31" s="2"/>
      <c r="E31" s="2"/>
      <c r="F31" s="2"/>
      <c r="G31" s="2"/>
      <c r="H31" s="2"/>
      <c r="I31" s="2"/>
      <c r="J31" s="2"/>
      <c r="K31" s="2"/>
      <c r="L31" s="2"/>
      <c r="M31" s="2"/>
      <c r="N31" s="2"/>
      <c r="O31" s="2"/>
      <c r="P31" s="2"/>
      <c r="Q31" s="2"/>
      <c r="R31" s="2"/>
    </row>
    <row r="32" spans="2:18" x14ac:dyDescent="0.55000000000000004">
      <c r="B32" s="10" t="s">
        <v>125</v>
      </c>
    </row>
  </sheetData>
  <sheetProtection algorithmName="SHA-512" hashValue="g2Adgx8b0mp1BEA8djjxyBXdORRYJ2NunYPgv/a+yiQGKs037ZuDL2RdyxGMcs0bJyP9IX5h5S3c95bRDrb1Xg==" saltValue="73f+gzxGMrS9YfuQZd151g==" spinCount="100000" sheet="1" objects="1" scenarios="1"/>
  <mergeCells count="1">
    <mergeCell ref="B1:R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446F-5ACD-4EBA-B9AF-F617A1DED00E}">
  <dimension ref="B1:W28"/>
  <sheetViews>
    <sheetView showGridLines="0" topLeftCell="B1" workbookViewId="0">
      <selection activeCell="X19" sqref="X19"/>
    </sheetView>
  </sheetViews>
  <sheetFormatPr defaultRowHeight="14.4" x14ac:dyDescent="0.55000000000000004"/>
  <cols>
    <col min="1" max="1" width="1.734375" customWidth="1"/>
    <col min="4" max="4" width="10.83984375" customWidth="1"/>
    <col min="6" max="6" width="7.1015625" customWidth="1"/>
    <col min="7" max="7" width="5.26171875" customWidth="1"/>
    <col min="8" max="8" width="5.5234375" customWidth="1"/>
    <col min="11" max="11" width="9.7890625" customWidth="1"/>
    <col min="13" max="13" width="5.41796875" customWidth="1"/>
    <col min="14" max="14" width="4.26171875" customWidth="1"/>
    <col min="15" max="15" width="3.3671875" customWidth="1"/>
    <col min="16" max="16" width="4.578125" customWidth="1"/>
    <col min="17" max="17" width="5.68359375" customWidth="1"/>
    <col min="20" max="20" width="16.62890625" customWidth="1"/>
    <col min="23" max="23" width="3.41796875" customWidth="1"/>
  </cols>
  <sheetData>
    <row r="1" spans="2:23" x14ac:dyDescent="0.55000000000000004">
      <c r="B1" s="47" t="s">
        <v>0</v>
      </c>
      <c r="C1" s="47"/>
      <c r="D1" s="47"/>
      <c r="E1" s="47"/>
      <c r="F1" s="47"/>
      <c r="G1" s="47"/>
      <c r="H1" s="47"/>
      <c r="I1" s="47"/>
      <c r="J1" s="47"/>
      <c r="K1" s="47"/>
      <c r="L1" s="47"/>
      <c r="M1" s="47"/>
      <c r="N1" s="47"/>
      <c r="O1" s="47"/>
      <c r="P1" s="47"/>
      <c r="Q1" s="47"/>
      <c r="R1" s="47"/>
      <c r="S1" s="47"/>
      <c r="T1" s="47"/>
      <c r="U1" s="47"/>
      <c r="V1" s="47"/>
      <c r="W1" s="47"/>
    </row>
    <row r="2" spans="2:23" x14ac:dyDescent="0.55000000000000004">
      <c r="B2" s="47"/>
      <c r="C2" s="47"/>
      <c r="D2" s="47"/>
      <c r="E2" s="47"/>
      <c r="F2" s="47"/>
      <c r="G2" s="47"/>
      <c r="H2" s="47"/>
      <c r="I2" s="47"/>
      <c r="J2" s="47"/>
      <c r="K2" s="47"/>
      <c r="L2" s="47"/>
      <c r="M2" s="47"/>
      <c r="N2" s="47"/>
      <c r="O2" s="47"/>
      <c r="P2" s="47"/>
      <c r="Q2" s="47"/>
      <c r="R2" s="47"/>
      <c r="S2" s="47"/>
      <c r="T2" s="47"/>
      <c r="U2" s="47"/>
      <c r="V2" s="47"/>
      <c r="W2" s="47"/>
    </row>
    <row r="3" spans="2:23" x14ac:dyDescent="0.55000000000000004">
      <c r="B3" s="47"/>
      <c r="C3" s="47"/>
      <c r="D3" s="47"/>
      <c r="E3" s="47"/>
      <c r="F3" s="47"/>
      <c r="G3" s="47"/>
      <c r="H3" s="47"/>
      <c r="I3" s="47"/>
      <c r="J3" s="47"/>
      <c r="K3" s="47"/>
      <c r="L3" s="47"/>
      <c r="M3" s="47"/>
      <c r="N3" s="47"/>
      <c r="O3" s="47"/>
      <c r="P3" s="47"/>
      <c r="Q3" s="47"/>
      <c r="R3" s="47"/>
      <c r="S3" s="47"/>
      <c r="T3" s="47"/>
      <c r="U3" s="47"/>
      <c r="V3" s="47"/>
      <c r="W3" s="47"/>
    </row>
    <row r="5" spans="2:23" ht="18.3" x14ac:dyDescent="0.7">
      <c r="B5" s="23" t="s">
        <v>5</v>
      </c>
      <c r="C5" s="15"/>
      <c r="D5" s="15"/>
      <c r="E5" s="15"/>
      <c r="F5" s="15"/>
      <c r="G5" s="16"/>
      <c r="H5" s="17"/>
      <c r="I5" s="23" t="s">
        <v>6</v>
      </c>
      <c r="J5" s="15"/>
      <c r="K5" s="15"/>
      <c r="L5" s="15"/>
      <c r="M5" s="15"/>
      <c r="N5" s="16"/>
      <c r="O5" s="17"/>
      <c r="P5" s="17"/>
      <c r="Q5" s="17"/>
      <c r="R5" s="23" t="s">
        <v>7</v>
      </c>
      <c r="S5" s="15"/>
      <c r="T5" s="15"/>
      <c r="U5" s="15"/>
      <c r="V5" s="15"/>
    </row>
    <row r="6" spans="2:23" ht="15.6" x14ac:dyDescent="0.6">
      <c r="B6" s="61" t="s">
        <v>3</v>
      </c>
      <c r="C6" s="61"/>
      <c r="D6" s="61"/>
      <c r="E6" s="43">
        <v>35</v>
      </c>
      <c r="F6" s="18" t="s">
        <v>1</v>
      </c>
      <c r="G6" s="17"/>
      <c r="H6" s="17"/>
      <c r="I6" s="61" t="s">
        <v>130</v>
      </c>
      <c r="J6" s="61"/>
      <c r="K6" s="61"/>
      <c r="L6" s="43">
        <v>850</v>
      </c>
      <c r="M6" s="18" t="s">
        <v>8</v>
      </c>
      <c r="N6" s="17" t="s">
        <v>149</v>
      </c>
      <c r="O6" s="17"/>
      <c r="P6" s="17"/>
      <c r="Q6" s="17"/>
      <c r="R6" s="61" t="s">
        <v>126</v>
      </c>
      <c r="S6" s="61"/>
      <c r="T6" s="61"/>
      <c r="U6" s="44">
        <v>0</v>
      </c>
      <c r="V6" s="18" t="s">
        <v>15</v>
      </c>
    </row>
    <row r="7" spans="2:23" ht="15.6" x14ac:dyDescent="0.6">
      <c r="B7" s="61" t="s">
        <v>4</v>
      </c>
      <c r="C7" s="61"/>
      <c r="D7" s="61"/>
      <c r="E7" s="43">
        <v>100</v>
      </c>
      <c r="F7" s="18" t="s">
        <v>2</v>
      </c>
      <c r="G7" s="17"/>
      <c r="H7" s="17"/>
      <c r="I7" s="61" t="s">
        <v>9</v>
      </c>
      <c r="J7" s="61"/>
      <c r="K7" s="61"/>
      <c r="L7" s="43">
        <v>3</v>
      </c>
      <c r="M7" s="18" t="s">
        <v>10</v>
      </c>
      <c r="N7" s="17"/>
      <c r="O7" s="17"/>
      <c r="P7" s="17"/>
      <c r="Q7" s="17"/>
      <c r="R7" s="63" t="s">
        <v>16</v>
      </c>
      <c r="S7" s="64"/>
      <c r="T7" s="65"/>
      <c r="U7" s="43">
        <v>39</v>
      </c>
      <c r="V7" s="18" t="s">
        <v>17</v>
      </c>
    </row>
    <row r="8" spans="2:23" ht="15.6" x14ac:dyDescent="0.6">
      <c r="B8" s="17"/>
      <c r="C8" s="17"/>
      <c r="D8" s="17"/>
      <c r="E8" s="17"/>
      <c r="F8" s="17"/>
      <c r="G8" s="17"/>
      <c r="H8" s="17"/>
      <c r="I8" s="62" t="s">
        <v>11</v>
      </c>
      <c r="J8" s="62"/>
      <c r="K8" s="62"/>
      <c r="L8" s="43">
        <v>0</v>
      </c>
      <c r="M8" s="18" t="s">
        <v>12</v>
      </c>
      <c r="N8" s="17"/>
      <c r="O8" s="17"/>
      <c r="P8" s="17"/>
      <c r="Q8" s="17"/>
      <c r="R8" s="19"/>
      <c r="S8" s="20"/>
      <c r="T8" s="21" t="s">
        <v>13</v>
      </c>
      <c r="U8" s="43"/>
      <c r="V8" s="18" t="s">
        <v>65</v>
      </c>
    </row>
    <row r="9" spans="2:23" ht="15.6" x14ac:dyDescent="0.6">
      <c r="B9" s="17"/>
      <c r="C9" s="17"/>
      <c r="D9" s="17"/>
      <c r="E9" s="17"/>
      <c r="F9" s="17"/>
      <c r="G9" s="17"/>
      <c r="H9" s="17"/>
      <c r="I9" s="55" t="s">
        <v>13</v>
      </c>
      <c r="J9" s="56"/>
      <c r="K9" s="57"/>
      <c r="L9" s="43"/>
      <c r="M9" s="18" t="s">
        <v>14</v>
      </c>
      <c r="N9" s="17"/>
      <c r="O9" s="17"/>
      <c r="P9" s="17"/>
      <c r="Q9" s="17"/>
      <c r="R9" s="63" t="s">
        <v>86</v>
      </c>
      <c r="S9" s="64"/>
      <c r="T9" s="65"/>
      <c r="U9" s="43">
        <v>240</v>
      </c>
      <c r="V9" s="18" t="s">
        <v>14</v>
      </c>
    </row>
    <row r="10" spans="2:23" ht="15.6" x14ac:dyDescent="0.6">
      <c r="B10" s="17"/>
      <c r="C10" s="17"/>
      <c r="D10" s="17"/>
      <c r="E10" s="17"/>
      <c r="F10" s="17"/>
      <c r="G10" s="17"/>
      <c r="H10" s="17"/>
      <c r="I10" s="58" t="s">
        <v>151</v>
      </c>
      <c r="J10" s="59"/>
      <c r="K10" s="60"/>
      <c r="L10" s="44">
        <v>2.9</v>
      </c>
      <c r="M10" s="18"/>
      <c r="N10" s="17"/>
      <c r="O10" s="17"/>
      <c r="P10" s="17"/>
      <c r="Q10" s="17"/>
      <c r="R10" s="19"/>
      <c r="S10" s="20"/>
      <c r="T10" s="21" t="s">
        <v>13</v>
      </c>
      <c r="U10" s="43"/>
      <c r="V10" s="18" t="s">
        <v>12</v>
      </c>
    </row>
    <row r="11" spans="2:23" ht="15.6" x14ac:dyDescent="0.6">
      <c r="B11" s="17"/>
      <c r="C11" s="17"/>
      <c r="D11" s="17"/>
      <c r="E11" s="17"/>
      <c r="F11" s="17"/>
      <c r="G11" s="17"/>
      <c r="H11" s="17"/>
      <c r="I11" s="17"/>
      <c r="J11" s="17"/>
      <c r="K11" s="17"/>
      <c r="L11" s="17"/>
      <c r="M11" s="17"/>
      <c r="N11" s="17"/>
      <c r="O11" s="17"/>
      <c r="P11" s="17"/>
      <c r="Q11" s="17"/>
      <c r="R11" s="17"/>
      <c r="S11" s="17"/>
      <c r="T11" s="17"/>
      <c r="U11" s="17"/>
      <c r="V11" s="17"/>
    </row>
    <row r="12" spans="2:23" ht="18.3" x14ac:dyDescent="0.7">
      <c r="B12" s="23" t="s">
        <v>18</v>
      </c>
      <c r="C12" s="15"/>
      <c r="D12" s="15"/>
      <c r="E12" s="15"/>
      <c r="F12" s="15"/>
      <c r="G12" s="17"/>
      <c r="H12" s="17"/>
      <c r="I12" s="23" t="s">
        <v>26</v>
      </c>
      <c r="J12" s="15"/>
      <c r="K12" s="15"/>
      <c r="L12" s="15"/>
      <c r="M12" s="15"/>
      <c r="N12" s="17"/>
      <c r="O12" s="17"/>
      <c r="P12" s="17"/>
      <c r="Q12" s="17"/>
      <c r="R12" s="23" t="s">
        <v>32</v>
      </c>
      <c r="S12" s="15"/>
      <c r="T12" s="15"/>
      <c r="U12" s="15"/>
      <c r="V12" s="15"/>
    </row>
    <row r="13" spans="2:23" ht="15.6" x14ac:dyDescent="0.6">
      <c r="B13" s="61" t="s">
        <v>19</v>
      </c>
      <c r="C13" s="61"/>
      <c r="D13" s="61"/>
      <c r="E13" s="44">
        <v>15</v>
      </c>
      <c r="F13" s="18" t="s">
        <v>20</v>
      </c>
      <c r="G13" s="17"/>
      <c r="H13" s="17"/>
      <c r="I13" s="61" t="s">
        <v>27</v>
      </c>
      <c r="J13" s="61"/>
      <c r="K13" s="61"/>
      <c r="L13" s="44">
        <v>15</v>
      </c>
      <c r="M13" s="18" t="s">
        <v>20</v>
      </c>
      <c r="N13" s="17"/>
      <c r="O13" s="17"/>
      <c r="P13" s="17"/>
      <c r="Q13" s="17"/>
      <c r="R13" s="52" t="s">
        <v>33</v>
      </c>
      <c r="S13" s="53"/>
      <c r="T13" s="54"/>
      <c r="U13" s="43">
        <v>20</v>
      </c>
      <c r="V13" s="18" t="s">
        <v>25</v>
      </c>
    </row>
    <row r="14" spans="2:23" ht="15.6" x14ac:dyDescent="0.6">
      <c r="B14" s="61" t="s">
        <v>21</v>
      </c>
      <c r="C14" s="61"/>
      <c r="D14" s="61"/>
      <c r="E14" s="44">
        <v>2000</v>
      </c>
      <c r="F14" s="18" t="s">
        <v>25</v>
      </c>
      <c r="G14" s="17"/>
      <c r="H14" s="17"/>
      <c r="I14" s="61" t="s">
        <v>28</v>
      </c>
      <c r="J14" s="61"/>
      <c r="K14" s="61"/>
      <c r="L14" s="44">
        <v>5000</v>
      </c>
      <c r="M14" s="18" t="s">
        <v>25</v>
      </c>
      <c r="N14" s="17"/>
      <c r="O14" s="17"/>
      <c r="P14" s="17"/>
      <c r="Q14" s="17"/>
      <c r="R14" s="40" t="s">
        <v>127</v>
      </c>
      <c r="S14" s="41"/>
      <c r="T14" s="42"/>
      <c r="U14" s="43">
        <v>3</v>
      </c>
      <c r="V14" s="18" t="s">
        <v>14</v>
      </c>
    </row>
    <row r="15" spans="2:23" ht="15.6" x14ac:dyDescent="0.6">
      <c r="B15" s="61" t="s">
        <v>22</v>
      </c>
      <c r="C15" s="61"/>
      <c r="D15" s="61"/>
      <c r="E15" s="44">
        <v>2000</v>
      </c>
      <c r="F15" s="18" t="s">
        <v>25</v>
      </c>
      <c r="G15" s="17"/>
      <c r="H15" s="17"/>
      <c r="I15" s="61" t="s">
        <v>29</v>
      </c>
      <c r="J15" s="61"/>
      <c r="K15" s="61"/>
      <c r="L15" s="44">
        <v>2000</v>
      </c>
      <c r="M15" s="18" t="s">
        <v>25</v>
      </c>
      <c r="N15" s="17"/>
      <c r="O15" s="17"/>
      <c r="P15" s="17"/>
      <c r="Q15" s="17"/>
      <c r="R15" s="40" t="s">
        <v>34</v>
      </c>
      <c r="S15" s="41"/>
      <c r="T15" s="42"/>
      <c r="U15" s="43">
        <v>100</v>
      </c>
      <c r="V15" s="18" t="s">
        <v>35</v>
      </c>
    </row>
    <row r="16" spans="2:23" ht="15.6" x14ac:dyDescent="0.6">
      <c r="B16" s="61" t="s">
        <v>23</v>
      </c>
      <c r="C16" s="61"/>
      <c r="D16" s="61"/>
      <c r="E16" s="44">
        <v>2500</v>
      </c>
      <c r="F16" s="18" t="s">
        <v>25</v>
      </c>
      <c r="G16" s="17"/>
      <c r="H16" s="17"/>
      <c r="I16" s="61" t="s">
        <v>30</v>
      </c>
      <c r="J16" s="61"/>
      <c r="K16" s="61"/>
      <c r="L16" s="44">
        <v>1000</v>
      </c>
      <c r="M16" s="18" t="s">
        <v>25</v>
      </c>
      <c r="N16" s="17"/>
      <c r="O16" s="17"/>
      <c r="P16" s="17"/>
      <c r="Q16" s="17"/>
      <c r="R16" s="40" t="s">
        <v>48</v>
      </c>
      <c r="S16" s="41"/>
      <c r="T16" s="42"/>
      <c r="U16" s="43">
        <v>15</v>
      </c>
      <c r="V16" s="18" t="s">
        <v>35</v>
      </c>
    </row>
    <row r="17" spans="2:22" ht="15.6" x14ac:dyDescent="0.6">
      <c r="B17" s="61" t="s">
        <v>24</v>
      </c>
      <c r="C17" s="61"/>
      <c r="D17" s="61"/>
      <c r="E17" s="44">
        <v>1000</v>
      </c>
      <c r="F17" s="18" t="s">
        <v>25</v>
      </c>
      <c r="G17" s="17"/>
      <c r="H17" s="17"/>
      <c r="I17" s="61" t="s">
        <v>31</v>
      </c>
      <c r="J17" s="61"/>
      <c r="K17" s="61"/>
      <c r="L17" s="44"/>
      <c r="M17" s="18" t="s">
        <v>25</v>
      </c>
      <c r="N17" s="17"/>
      <c r="O17" s="17"/>
      <c r="P17" s="17"/>
      <c r="Q17" s="17"/>
      <c r="R17" s="40" t="s">
        <v>89</v>
      </c>
      <c r="S17" s="41"/>
      <c r="T17" s="42"/>
      <c r="U17" s="44">
        <v>2</v>
      </c>
      <c r="V17" s="18" t="s">
        <v>56</v>
      </c>
    </row>
    <row r="18" spans="2:22" ht="15.6" x14ac:dyDescent="0.6">
      <c r="B18" s="16"/>
      <c r="C18" s="16"/>
      <c r="D18" s="16"/>
      <c r="E18" s="17"/>
      <c r="F18" s="17"/>
      <c r="G18" s="17"/>
      <c r="H18" s="17"/>
      <c r="I18" s="17"/>
      <c r="J18" s="17"/>
      <c r="K18" s="17"/>
      <c r="L18" s="17"/>
      <c r="M18" s="17"/>
      <c r="N18" s="17"/>
      <c r="O18" s="17"/>
      <c r="P18" s="17"/>
      <c r="Q18" s="17"/>
      <c r="R18" s="52" t="s">
        <v>90</v>
      </c>
      <c r="S18" s="53"/>
      <c r="T18" s="54"/>
      <c r="U18" s="44">
        <v>2</v>
      </c>
      <c r="V18" s="18" t="s">
        <v>56</v>
      </c>
    </row>
    <row r="19" spans="2:22" ht="15.6" x14ac:dyDescent="0.6">
      <c r="B19" s="16"/>
      <c r="C19" s="16"/>
      <c r="D19" s="18" t="s">
        <v>50</v>
      </c>
      <c r="E19" s="18">
        <f>SUM(E14:E17)</f>
        <v>7500</v>
      </c>
      <c r="F19" s="17" t="s">
        <v>25</v>
      </c>
      <c r="G19" s="17"/>
      <c r="H19" s="17"/>
      <c r="I19" s="17"/>
      <c r="J19" s="17"/>
      <c r="K19" s="18" t="s">
        <v>50</v>
      </c>
      <c r="L19" s="18">
        <f>SUM(L14:L17)</f>
        <v>8000</v>
      </c>
      <c r="M19" s="17" t="s">
        <v>25</v>
      </c>
      <c r="N19" s="17"/>
      <c r="O19" s="17"/>
      <c r="P19" s="17"/>
      <c r="Q19" s="17"/>
    </row>
    <row r="20" spans="2:22" ht="15.6" x14ac:dyDescent="0.6">
      <c r="B20" s="17"/>
      <c r="C20" s="17"/>
      <c r="D20" s="17"/>
      <c r="E20" s="17"/>
      <c r="F20" s="17"/>
      <c r="G20" s="17"/>
      <c r="H20" s="17"/>
      <c r="I20" s="17"/>
      <c r="J20" s="17"/>
      <c r="K20" s="17"/>
      <c r="L20" s="17"/>
      <c r="M20" s="17"/>
      <c r="N20" s="17"/>
      <c r="O20" s="17"/>
      <c r="P20" s="17"/>
      <c r="Q20" s="17"/>
      <c r="R20" s="17"/>
      <c r="S20" s="17"/>
      <c r="T20" s="17"/>
      <c r="U20" s="17"/>
      <c r="V20" s="17"/>
    </row>
    <row r="21" spans="2:22" ht="15.6" x14ac:dyDescent="0.6">
      <c r="B21" s="17"/>
      <c r="C21" s="17"/>
      <c r="D21" s="17"/>
      <c r="E21" s="17"/>
      <c r="F21" s="17"/>
      <c r="G21" s="17"/>
      <c r="H21" s="17"/>
      <c r="I21" s="17"/>
      <c r="J21" s="17"/>
      <c r="K21" s="17"/>
      <c r="L21" s="17"/>
      <c r="M21" s="17"/>
      <c r="N21" s="17"/>
      <c r="O21" s="17"/>
      <c r="P21" s="17"/>
      <c r="Q21" s="17"/>
      <c r="R21" s="17"/>
      <c r="S21" s="17"/>
      <c r="T21" s="17"/>
      <c r="U21" s="17"/>
      <c r="V21" s="17"/>
    </row>
    <row r="22" spans="2:22" ht="15.6" x14ac:dyDescent="0.6">
      <c r="B22" s="17"/>
      <c r="C22" s="17"/>
      <c r="D22" s="17"/>
      <c r="E22" s="17"/>
      <c r="F22" s="17"/>
      <c r="G22" s="17"/>
      <c r="H22" s="17"/>
      <c r="I22" s="17"/>
      <c r="J22" s="17"/>
      <c r="K22" s="17"/>
      <c r="L22" s="17"/>
      <c r="M22" s="17"/>
      <c r="N22" s="17"/>
      <c r="O22" s="17"/>
      <c r="P22" s="17"/>
      <c r="Q22" s="17"/>
      <c r="R22" s="17"/>
      <c r="S22" s="17"/>
      <c r="T22" s="17"/>
      <c r="U22" s="17"/>
      <c r="V22" s="17"/>
    </row>
    <row r="23" spans="2:22" ht="15.6" x14ac:dyDescent="0.6">
      <c r="B23" s="17"/>
      <c r="C23" s="17"/>
      <c r="D23" s="17"/>
      <c r="E23" s="17"/>
      <c r="F23" s="17"/>
      <c r="G23" s="17"/>
      <c r="H23" s="17"/>
      <c r="I23" s="17"/>
      <c r="J23" s="17"/>
      <c r="K23" s="17"/>
      <c r="L23" s="17"/>
      <c r="M23" s="17"/>
      <c r="N23" s="17"/>
      <c r="O23" s="17"/>
      <c r="P23" s="17"/>
      <c r="Q23" s="17"/>
      <c r="R23" s="17"/>
      <c r="S23" s="17"/>
      <c r="T23" s="17"/>
      <c r="U23" s="17"/>
      <c r="V23" s="17"/>
    </row>
    <row r="24" spans="2:22" ht="15.6" x14ac:dyDescent="0.6">
      <c r="B24" s="17" t="s">
        <v>131</v>
      </c>
      <c r="C24" s="17"/>
      <c r="D24" s="17"/>
      <c r="E24" s="17"/>
      <c r="F24" s="17"/>
      <c r="G24" s="17"/>
      <c r="H24" s="17"/>
      <c r="I24" s="17"/>
      <c r="J24" s="17"/>
      <c r="K24" s="17"/>
      <c r="L24" s="17"/>
      <c r="M24" s="17"/>
      <c r="N24" s="17"/>
      <c r="O24" s="17"/>
      <c r="P24" s="17"/>
      <c r="Q24" s="17"/>
      <c r="R24" s="17"/>
      <c r="S24" s="17"/>
      <c r="T24" s="17"/>
      <c r="U24" s="17"/>
      <c r="V24" s="17"/>
    </row>
    <row r="25" spans="2:22" ht="15.6" x14ac:dyDescent="0.6">
      <c r="B25" s="17" t="s">
        <v>128</v>
      </c>
      <c r="C25" s="17"/>
      <c r="D25" s="17"/>
      <c r="E25" s="17"/>
      <c r="F25" s="17"/>
      <c r="G25" s="17"/>
      <c r="H25" s="17"/>
      <c r="I25" s="17"/>
      <c r="J25" s="17"/>
      <c r="K25" s="17"/>
      <c r="L25" s="17"/>
      <c r="M25" s="17"/>
      <c r="N25" s="17"/>
      <c r="O25" s="17"/>
      <c r="P25" s="17"/>
      <c r="Q25" s="17"/>
      <c r="R25" s="17"/>
      <c r="S25" s="17"/>
      <c r="T25" s="17"/>
      <c r="U25" s="17"/>
      <c r="V25" s="17"/>
    </row>
    <row r="26" spans="2:22" ht="15.6" x14ac:dyDescent="0.6">
      <c r="B26" s="17" t="s">
        <v>129</v>
      </c>
      <c r="C26" s="17"/>
      <c r="D26" s="17"/>
      <c r="E26" s="17"/>
      <c r="F26" s="17"/>
      <c r="G26" s="17"/>
      <c r="H26" s="17"/>
      <c r="I26" s="17"/>
      <c r="J26" s="17"/>
      <c r="K26" s="17"/>
      <c r="L26" s="17"/>
      <c r="M26" s="17"/>
      <c r="N26" s="17"/>
      <c r="O26" s="17"/>
      <c r="P26" s="17"/>
      <c r="Q26" s="17"/>
      <c r="R26" s="17"/>
      <c r="S26" s="17"/>
      <c r="T26" s="17"/>
      <c r="U26" s="17"/>
      <c r="V26" s="17"/>
    </row>
    <row r="27" spans="2:22" ht="15.6" x14ac:dyDescent="0.6">
      <c r="B27" s="17"/>
      <c r="C27" s="17"/>
      <c r="D27" s="17"/>
      <c r="E27" s="17"/>
      <c r="F27" s="17"/>
      <c r="G27" s="17"/>
      <c r="H27" s="17"/>
      <c r="I27" s="17"/>
      <c r="J27" s="17"/>
      <c r="K27" s="17"/>
      <c r="L27" s="17"/>
      <c r="M27" s="17"/>
      <c r="N27" s="17"/>
      <c r="O27" s="17"/>
      <c r="P27" s="17"/>
      <c r="Q27" s="17"/>
      <c r="R27" s="17"/>
      <c r="S27" s="17"/>
      <c r="T27" s="17"/>
      <c r="U27" s="17"/>
      <c r="V27" s="17"/>
    </row>
    <row r="28" spans="2:22" ht="15.6" x14ac:dyDescent="0.6">
      <c r="B28" s="17"/>
      <c r="C28" s="17"/>
      <c r="D28" s="17"/>
      <c r="E28" s="17"/>
      <c r="F28" s="17"/>
      <c r="G28" s="17"/>
      <c r="H28" s="17"/>
      <c r="I28" s="17"/>
      <c r="J28" s="17"/>
      <c r="K28" s="17"/>
      <c r="L28" s="17"/>
      <c r="M28" s="17"/>
      <c r="N28" s="17"/>
      <c r="O28" s="17"/>
      <c r="P28" s="17"/>
      <c r="Q28" s="17"/>
      <c r="R28" s="17"/>
      <c r="S28" s="17"/>
      <c r="T28" s="17"/>
      <c r="U28" s="17"/>
      <c r="V28" s="17"/>
    </row>
  </sheetData>
  <sheetProtection algorithmName="SHA-512" hashValue="mid8RNEGY1CbAjHaNF/rVs/ZczypVsKhirLF2GtrzRCMoKATPVnU7lur8vifaNf+e6EcBx4AzO0cRBYd14VmNw==" saltValue="6/2K3kH6UsSJkz8Y9TqAbA==" spinCount="100000" sheet="1" objects="1" scenarios="1"/>
  <mergeCells count="23">
    <mergeCell ref="B1:W3"/>
    <mergeCell ref="B13:D13"/>
    <mergeCell ref="B14:D14"/>
    <mergeCell ref="B15:D15"/>
    <mergeCell ref="R6:T6"/>
    <mergeCell ref="R7:T7"/>
    <mergeCell ref="R9:T9"/>
    <mergeCell ref="R13:T13"/>
    <mergeCell ref="B6:D6"/>
    <mergeCell ref="B7:D7"/>
    <mergeCell ref="I6:K6"/>
    <mergeCell ref="I7:K7"/>
    <mergeCell ref="I8:K8"/>
    <mergeCell ref="R18:T18"/>
    <mergeCell ref="I9:K9"/>
    <mergeCell ref="I10:K10"/>
    <mergeCell ref="B16:D16"/>
    <mergeCell ref="B17:D17"/>
    <mergeCell ref="I13:K13"/>
    <mergeCell ref="I14:K14"/>
    <mergeCell ref="I15:K15"/>
    <mergeCell ref="I16:K16"/>
    <mergeCell ref="I17:K17"/>
  </mergeCells>
  <conditionalFormatting sqref="N6">
    <cfRule type="expression" dxfId="4" priority="2">
      <formula>$L$6&gt;=1250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D5AB8-34B6-4041-87F2-BB87D8F87DF4}">
  <dimension ref="B1:AD19"/>
  <sheetViews>
    <sheetView showGridLines="0" workbookViewId="0">
      <selection activeCell="AC21" sqref="AC21"/>
    </sheetView>
  </sheetViews>
  <sheetFormatPr defaultRowHeight="14.4" x14ac:dyDescent="0.55000000000000004"/>
  <cols>
    <col min="1" max="1" width="1.734375" customWidth="1"/>
    <col min="2" max="2" width="2.89453125" customWidth="1"/>
    <col min="3" max="4" width="6.734375" customWidth="1"/>
    <col min="6" max="6" width="6.05078125" customWidth="1"/>
    <col min="7" max="7" width="7" customWidth="1"/>
    <col min="9" max="9" width="7.5234375" customWidth="1"/>
    <col min="10" max="10" width="6.83984375" customWidth="1"/>
    <col min="11" max="11" width="7.5234375" customWidth="1"/>
    <col min="12" max="12" width="6.9453125" customWidth="1"/>
    <col min="14" max="15" width="4.15625" customWidth="1"/>
    <col min="16" max="18" width="6.578125" customWidth="1"/>
    <col min="19" max="19" width="3.62890625" customWidth="1"/>
    <col min="20" max="20" width="6.578125" customWidth="1"/>
    <col min="21" max="21" width="6.05078125" customWidth="1"/>
    <col min="22" max="22" width="7.1015625" customWidth="1"/>
    <col min="23" max="23" width="5" customWidth="1"/>
    <col min="24" max="24" width="7.5234375" customWidth="1"/>
    <col min="25" max="25" width="5.41796875" customWidth="1"/>
    <col min="26" max="26" width="6.734375" customWidth="1"/>
    <col min="27" max="27" width="5" customWidth="1"/>
    <col min="28" max="28" width="6.05078125" customWidth="1"/>
    <col min="29" max="29" width="5" customWidth="1"/>
    <col min="30" max="30" width="7.1015625" customWidth="1"/>
  </cols>
  <sheetData>
    <row r="1" spans="2:30" ht="14.4" customHeight="1" x14ac:dyDescent="0.55000000000000004">
      <c r="B1" s="47" t="s">
        <v>36</v>
      </c>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row>
    <row r="2" spans="2:30" ht="14.4" customHeight="1" x14ac:dyDescent="0.55000000000000004">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row>
    <row r="3" spans="2:30" ht="14.4" customHeight="1" x14ac:dyDescent="0.55000000000000004">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row>
    <row r="5" spans="2:30" ht="15.6" x14ac:dyDescent="0.6">
      <c r="C5" s="83" t="s">
        <v>37</v>
      </c>
      <c r="D5" s="83"/>
      <c r="E5" s="83"/>
      <c r="F5" s="83"/>
      <c r="G5" s="83"/>
      <c r="H5" s="83"/>
      <c r="I5" s="83"/>
      <c r="J5" s="83"/>
      <c r="K5" s="83"/>
      <c r="L5" s="83"/>
      <c r="M5" s="83"/>
      <c r="N5" s="17"/>
      <c r="O5" s="17"/>
      <c r="P5" s="83" t="s">
        <v>42</v>
      </c>
      <c r="Q5" s="83"/>
      <c r="R5" s="83"/>
      <c r="S5" s="83"/>
      <c r="T5" s="83"/>
      <c r="U5" s="83"/>
      <c r="V5" s="83"/>
      <c r="W5" s="83"/>
      <c r="X5" s="83"/>
      <c r="Y5" s="83"/>
      <c r="Z5" s="83"/>
      <c r="AA5" s="83"/>
      <c r="AB5" s="83"/>
      <c r="AC5" s="83"/>
      <c r="AD5" s="83"/>
    </row>
    <row r="6" spans="2:30" ht="15.6" x14ac:dyDescent="0.6">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row>
    <row r="7" spans="2:30" ht="15.6" x14ac:dyDescent="0.6">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row>
    <row r="8" spans="2:30" ht="15.9" thickBot="1" x14ac:dyDescent="0.6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row>
    <row r="9" spans="2:30" ht="14.4" customHeight="1" x14ac:dyDescent="0.6">
      <c r="C9" s="66" t="s">
        <v>38</v>
      </c>
      <c r="D9" s="67"/>
      <c r="E9" s="68"/>
      <c r="F9" s="22"/>
      <c r="G9" s="17"/>
      <c r="H9" s="66" t="s">
        <v>39</v>
      </c>
      <c r="I9" s="67"/>
      <c r="J9" s="68"/>
      <c r="K9" s="17"/>
      <c r="L9" s="17"/>
      <c r="P9" s="17"/>
      <c r="Q9" s="17"/>
      <c r="R9" s="66" t="s">
        <v>43</v>
      </c>
      <c r="S9" s="67"/>
      <c r="T9" s="68"/>
      <c r="W9" s="17"/>
      <c r="X9" s="17"/>
      <c r="Y9" s="17"/>
      <c r="Z9" s="75" t="s">
        <v>44</v>
      </c>
      <c r="AA9" s="76"/>
      <c r="AB9" s="77"/>
      <c r="AC9" s="22"/>
      <c r="AD9" s="17"/>
    </row>
    <row r="10" spans="2:30" ht="14.4" customHeight="1" x14ac:dyDescent="0.6">
      <c r="C10" s="69"/>
      <c r="D10" s="70"/>
      <c r="E10" s="71"/>
      <c r="F10" s="22"/>
      <c r="G10" s="17"/>
      <c r="H10" s="69"/>
      <c r="I10" s="70"/>
      <c r="J10" s="71"/>
      <c r="K10" s="17"/>
      <c r="L10" s="17"/>
      <c r="P10" s="17"/>
      <c r="Q10" s="17"/>
      <c r="R10" s="69"/>
      <c r="S10" s="70"/>
      <c r="T10" s="71"/>
      <c r="W10" s="17"/>
      <c r="X10" s="17"/>
      <c r="Y10" s="17"/>
      <c r="Z10" s="78"/>
      <c r="AA10" s="70"/>
      <c r="AB10" s="79"/>
      <c r="AC10" s="22"/>
      <c r="AD10" s="17"/>
    </row>
    <row r="11" spans="2:30" ht="28.8" customHeight="1" thickBot="1" x14ac:dyDescent="0.65">
      <c r="C11" s="72"/>
      <c r="D11" s="73"/>
      <c r="E11" s="74"/>
      <c r="F11" s="22"/>
      <c r="G11" s="17"/>
      <c r="H11" s="72"/>
      <c r="I11" s="73"/>
      <c r="J11" s="74"/>
      <c r="K11" s="17"/>
      <c r="L11" s="17"/>
      <c r="P11" s="17"/>
      <c r="Q11" s="17"/>
      <c r="R11" s="72"/>
      <c r="S11" s="73"/>
      <c r="T11" s="74"/>
      <c r="W11" s="17"/>
      <c r="X11" s="17"/>
      <c r="Y11" s="17"/>
      <c r="Z11" s="80"/>
      <c r="AA11" s="81"/>
      <c r="AB11" s="82"/>
      <c r="AC11" s="22"/>
      <c r="AD11" s="17"/>
    </row>
    <row r="12" spans="2:30" ht="15.6" x14ac:dyDescent="0.6">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row>
    <row r="13" spans="2:30" ht="15.9" thickBot="1" x14ac:dyDescent="0.65">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row>
    <row r="14" spans="2:30" ht="15.6" x14ac:dyDescent="0.6">
      <c r="C14" s="17"/>
      <c r="D14" s="17"/>
      <c r="E14" s="66" t="s">
        <v>40</v>
      </c>
      <c r="F14" s="67"/>
      <c r="G14" s="68"/>
      <c r="H14" s="17"/>
      <c r="I14" s="17"/>
      <c r="J14" s="17"/>
      <c r="K14" s="66" t="s">
        <v>41</v>
      </c>
      <c r="L14" s="67"/>
      <c r="M14" s="68"/>
      <c r="N14" s="17"/>
      <c r="O14" s="17"/>
      <c r="P14" s="66" t="s">
        <v>47</v>
      </c>
      <c r="Q14" s="67"/>
      <c r="R14" s="68"/>
      <c r="S14" s="17"/>
      <c r="T14" s="66" t="s">
        <v>45</v>
      </c>
      <c r="U14" s="67"/>
      <c r="V14" s="68"/>
      <c r="W14" s="17"/>
      <c r="X14" s="66" t="s">
        <v>46</v>
      </c>
      <c r="Y14" s="67"/>
      <c r="Z14" s="68"/>
      <c r="AA14" s="17"/>
      <c r="AB14" s="66" t="s">
        <v>47</v>
      </c>
      <c r="AC14" s="67"/>
      <c r="AD14" s="68"/>
    </row>
    <row r="15" spans="2:30" ht="15.6" x14ac:dyDescent="0.6">
      <c r="C15" s="17"/>
      <c r="D15" s="17"/>
      <c r="E15" s="69"/>
      <c r="F15" s="70"/>
      <c r="G15" s="71"/>
      <c r="H15" s="17"/>
      <c r="I15" s="17"/>
      <c r="J15" s="17"/>
      <c r="K15" s="69"/>
      <c r="L15" s="70"/>
      <c r="M15" s="71"/>
      <c r="N15" s="17"/>
      <c r="O15" s="17"/>
      <c r="P15" s="69"/>
      <c r="Q15" s="70"/>
      <c r="R15" s="71"/>
      <c r="S15" s="17"/>
      <c r="T15" s="69"/>
      <c r="U15" s="70"/>
      <c r="V15" s="71"/>
      <c r="W15" s="17"/>
      <c r="X15" s="69"/>
      <c r="Y15" s="70"/>
      <c r="Z15" s="71"/>
      <c r="AA15" s="17"/>
      <c r="AB15" s="69"/>
      <c r="AC15" s="70"/>
      <c r="AD15" s="71"/>
    </row>
    <row r="16" spans="2:30" ht="28.8" customHeight="1" thickBot="1" x14ac:dyDescent="0.65">
      <c r="C16" s="17"/>
      <c r="D16" s="17"/>
      <c r="E16" s="72"/>
      <c r="F16" s="73"/>
      <c r="G16" s="74"/>
      <c r="H16" s="17"/>
      <c r="I16" s="17"/>
      <c r="J16" s="17"/>
      <c r="K16" s="72"/>
      <c r="L16" s="73"/>
      <c r="M16" s="74"/>
      <c r="N16" s="17"/>
      <c r="O16" s="17"/>
      <c r="P16" s="72"/>
      <c r="Q16" s="73"/>
      <c r="R16" s="74"/>
      <c r="S16" s="17"/>
      <c r="T16" s="72"/>
      <c r="U16" s="73"/>
      <c r="V16" s="74"/>
      <c r="W16" s="17"/>
      <c r="X16" s="72"/>
      <c r="Y16" s="73"/>
      <c r="Z16" s="74"/>
      <c r="AA16" s="17"/>
      <c r="AB16" s="72"/>
      <c r="AC16" s="73"/>
      <c r="AD16" s="74"/>
    </row>
    <row r="17" spans="3:30" ht="15.6" x14ac:dyDescent="0.6">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row>
    <row r="18" spans="3:30" ht="15.6" x14ac:dyDescent="0.6">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row>
    <row r="19" spans="3:30" ht="15.6" x14ac:dyDescent="0.6">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row>
  </sheetData>
  <sheetProtection algorithmName="SHA-512" hashValue="hOgzXwYnv5OQZvUo4p9KlmBCvycjHHV2v9cVBuTvFUZjbUU5bsFs4D1rk/Wy3SZ0Ma3vrVOIv4DNhz83qSccJQ==" saltValue="v3xB0Vs1IJlE10zLebJssA==" spinCount="100000" sheet="1" objects="1" scenarios="1"/>
  <mergeCells count="13">
    <mergeCell ref="B1:AD3"/>
    <mergeCell ref="X14:Z16"/>
    <mergeCell ref="AB14:AD16"/>
    <mergeCell ref="Z9:AB11"/>
    <mergeCell ref="C9:E11"/>
    <mergeCell ref="H9:J11"/>
    <mergeCell ref="E14:G16"/>
    <mergeCell ref="K14:M16"/>
    <mergeCell ref="C5:M5"/>
    <mergeCell ref="R9:T11"/>
    <mergeCell ref="T14:V16"/>
    <mergeCell ref="P14:R16"/>
    <mergeCell ref="P5:AD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C2EE1-0B4D-4693-9D71-65BCE40D55FE}">
  <dimension ref="B1:Z50"/>
  <sheetViews>
    <sheetView showGridLines="0" workbookViewId="0">
      <selection activeCell="T28" sqref="T28"/>
    </sheetView>
  </sheetViews>
  <sheetFormatPr defaultRowHeight="14.4" x14ac:dyDescent="0.55000000000000004"/>
  <cols>
    <col min="1" max="1" width="1.734375" customWidth="1"/>
    <col min="2" max="2" width="4.62890625" customWidth="1"/>
    <col min="3" max="3" width="2.5234375" customWidth="1"/>
    <col min="4" max="4" width="10.9453125" customWidth="1"/>
    <col min="5" max="5" width="8.05078125" customWidth="1"/>
    <col min="6" max="6" width="8.734375" customWidth="1"/>
    <col min="7" max="7" width="12.83984375" customWidth="1"/>
    <col min="8" max="8" width="6.20703125" customWidth="1"/>
    <col min="9" max="9" width="5.7890625" customWidth="1"/>
    <col min="10" max="10" width="4.5234375" customWidth="1"/>
    <col min="11" max="11" width="10.41796875" customWidth="1"/>
    <col min="12" max="12" width="12.1015625" customWidth="1"/>
    <col min="13" max="13" width="8.41796875" customWidth="1"/>
    <col min="15" max="15" width="3.20703125" customWidth="1"/>
    <col min="16" max="16" width="6.578125" customWidth="1"/>
    <col min="17" max="17" width="5.578125" customWidth="1"/>
    <col min="18" max="18" width="11.5234375" customWidth="1"/>
    <col min="19" max="19" width="8.9453125" customWidth="1"/>
    <col min="20" max="20" width="10.83984375" customWidth="1"/>
    <col min="21" max="21" width="12.1015625" customWidth="1"/>
    <col min="22" max="22" width="6.734375" customWidth="1"/>
    <col min="23" max="24" width="4.20703125" customWidth="1"/>
  </cols>
  <sheetData>
    <row r="1" spans="2:26" ht="14.4" customHeight="1" x14ac:dyDescent="0.55000000000000004">
      <c r="B1" s="47" t="s">
        <v>49</v>
      </c>
      <c r="C1" s="47"/>
      <c r="D1" s="47"/>
      <c r="E1" s="47"/>
      <c r="F1" s="47"/>
      <c r="G1" s="47"/>
      <c r="H1" s="47"/>
      <c r="I1" s="47"/>
      <c r="J1" s="47"/>
      <c r="K1" s="47"/>
      <c r="L1" s="47"/>
      <c r="M1" s="47"/>
      <c r="N1" s="47"/>
      <c r="O1" s="47"/>
      <c r="P1" s="47"/>
      <c r="Q1" s="47"/>
      <c r="R1" s="47"/>
      <c r="S1" s="47"/>
      <c r="T1" s="47"/>
      <c r="U1" s="47"/>
      <c r="V1" s="47"/>
      <c r="W1" s="47"/>
      <c r="X1" s="47"/>
    </row>
    <row r="2" spans="2:26" ht="14.4" customHeight="1" x14ac:dyDescent="0.55000000000000004">
      <c r="B2" s="47"/>
      <c r="C2" s="47"/>
      <c r="D2" s="47"/>
      <c r="E2" s="47"/>
      <c r="F2" s="47"/>
      <c r="G2" s="47"/>
      <c r="H2" s="47"/>
      <c r="I2" s="47"/>
      <c r="J2" s="47"/>
      <c r="K2" s="47"/>
      <c r="L2" s="47"/>
      <c r="M2" s="47"/>
      <c r="N2" s="47"/>
      <c r="O2" s="47"/>
      <c r="P2" s="47"/>
      <c r="Q2" s="47"/>
      <c r="R2" s="47"/>
      <c r="S2" s="47"/>
      <c r="T2" s="47"/>
      <c r="U2" s="47"/>
      <c r="V2" s="47"/>
      <c r="W2" s="47"/>
      <c r="X2" s="47"/>
    </row>
    <row r="3" spans="2:26" ht="14.4" customHeight="1" x14ac:dyDescent="0.55000000000000004">
      <c r="B3" s="47"/>
      <c r="C3" s="47"/>
      <c r="D3" s="47"/>
      <c r="E3" s="47"/>
      <c r="F3" s="47"/>
      <c r="G3" s="47"/>
      <c r="H3" s="47"/>
      <c r="I3" s="47"/>
      <c r="J3" s="47"/>
      <c r="K3" s="47"/>
      <c r="L3" s="47"/>
      <c r="M3" s="47"/>
      <c r="N3" s="47"/>
      <c r="O3" s="47"/>
      <c r="P3" s="47"/>
      <c r="Q3" s="47"/>
      <c r="R3" s="47"/>
      <c r="S3" s="47"/>
      <c r="T3" s="47"/>
      <c r="U3" s="47"/>
      <c r="V3" s="47"/>
      <c r="W3" s="47"/>
      <c r="X3" s="47"/>
    </row>
    <row r="5" spans="2:26" ht="18.3" x14ac:dyDescent="0.7">
      <c r="B5" s="23" t="s">
        <v>59</v>
      </c>
      <c r="C5" s="14"/>
      <c r="D5" s="15"/>
      <c r="E5" s="15"/>
      <c r="F5" s="15"/>
      <c r="G5" s="15"/>
      <c r="H5" s="17"/>
      <c r="I5" s="23" t="s">
        <v>70</v>
      </c>
      <c r="J5" s="14"/>
      <c r="K5" s="15"/>
      <c r="L5" s="15"/>
      <c r="M5" s="15"/>
      <c r="N5" s="15"/>
      <c r="O5" s="17"/>
      <c r="P5" s="23" t="s">
        <v>71</v>
      </c>
      <c r="Q5" s="14"/>
      <c r="R5" s="14"/>
      <c r="S5" s="15"/>
      <c r="T5" s="15"/>
      <c r="U5" s="15"/>
      <c r="V5" s="17"/>
    </row>
    <row r="6" spans="2:26" ht="15.6" x14ac:dyDescent="0.6">
      <c r="B6" s="61" t="s">
        <v>58</v>
      </c>
      <c r="C6" s="61"/>
      <c r="D6" s="61"/>
      <c r="E6" s="61"/>
      <c r="F6" s="18">
        <f>'Algemene gegevens'!E6</f>
        <v>35</v>
      </c>
      <c r="G6" s="18" t="s">
        <v>1</v>
      </c>
      <c r="H6" s="17"/>
      <c r="I6" s="61" t="s">
        <v>73</v>
      </c>
      <c r="J6" s="61"/>
      <c r="K6" s="61"/>
      <c r="L6" s="61"/>
      <c r="M6" s="24">
        <v>1000</v>
      </c>
      <c r="N6" s="18" t="s">
        <v>8</v>
      </c>
      <c r="O6" s="17"/>
      <c r="P6" s="61" t="s">
        <v>73</v>
      </c>
      <c r="Q6" s="61"/>
      <c r="R6" s="61"/>
      <c r="S6" s="61"/>
      <c r="T6" s="18">
        <f>'Algemene gegevens'!L6</f>
        <v>850</v>
      </c>
      <c r="U6" s="18" t="s">
        <v>8</v>
      </c>
      <c r="V6" s="86" t="s">
        <v>106</v>
      </c>
      <c r="W6" s="87"/>
      <c r="X6" s="87"/>
      <c r="Y6" s="87"/>
      <c r="Z6" s="87"/>
    </row>
    <row r="7" spans="2:26" ht="15.6" x14ac:dyDescent="0.6">
      <c r="B7" s="61" t="s">
        <v>60</v>
      </c>
      <c r="C7" s="61"/>
      <c r="D7" s="61"/>
      <c r="E7" s="61"/>
      <c r="F7" s="18">
        <f>F6*'Algemene gegevens'!E7</f>
        <v>3500</v>
      </c>
      <c r="G7" s="18" t="s">
        <v>61</v>
      </c>
      <c r="H7" s="17"/>
      <c r="I7" s="61" t="s">
        <v>74</v>
      </c>
      <c r="J7" s="61"/>
      <c r="K7" s="61"/>
      <c r="L7" s="61"/>
      <c r="M7" s="24">
        <f>M6*('Algemene gegevens'!L7/100)</f>
        <v>30</v>
      </c>
      <c r="N7" s="18" t="s">
        <v>2</v>
      </c>
      <c r="O7" s="17"/>
      <c r="P7" s="61" t="s">
        <v>74</v>
      </c>
      <c r="Q7" s="61"/>
      <c r="R7" s="61"/>
      <c r="S7" s="61"/>
      <c r="T7" s="18">
        <f>T6*'Algemene gegevens'!L7/100</f>
        <v>25.5</v>
      </c>
      <c r="U7" s="18" t="s">
        <v>2</v>
      </c>
      <c r="V7" s="17"/>
    </row>
    <row r="8" spans="2:26" ht="15.6" x14ac:dyDescent="0.6">
      <c r="B8" s="17"/>
      <c r="C8" s="17"/>
      <c r="D8" s="17"/>
      <c r="E8" s="17"/>
      <c r="F8" s="17"/>
      <c r="G8" s="17"/>
      <c r="H8" s="17"/>
      <c r="I8" s="17"/>
      <c r="J8" s="17"/>
      <c r="K8" s="17"/>
      <c r="L8" s="17"/>
      <c r="M8" s="25"/>
      <c r="N8" s="17"/>
      <c r="O8" s="17"/>
      <c r="P8" s="17"/>
      <c r="Q8" s="17"/>
      <c r="R8" s="17"/>
      <c r="S8" s="17"/>
      <c r="T8" s="17"/>
      <c r="U8" s="17"/>
      <c r="V8" s="17"/>
    </row>
    <row r="9" spans="2:26" ht="15.6" x14ac:dyDescent="0.6">
      <c r="B9" s="61" t="s">
        <v>66</v>
      </c>
      <c r="C9" s="61"/>
      <c r="D9" s="61"/>
      <c r="E9" s="61"/>
      <c r="F9" s="18">
        <v>1.33</v>
      </c>
      <c r="G9" s="18" t="s">
        <v>67</v>
      </c>
      <c r="H9" s="17"/>
      <c r="I9" s="97" t="s">
        <v>75</v>
      </c>
      <c r="J9" s="98"/>
      <c r="K9" s="98"/>
      <c r="L9" s="99"/>
      <c r="M9" s="24">
        <f>('Algemene gegevens'!$E$7-Berekeningen!M7)*100/39</f>
        <v>179.48717948717947</v>
      </c>
      <c r="N9" s="18" t="s">
        <v>8</v>
      </c>
      <c r="O9" s="17"/>
      <c r="P9" s="89" t="s">
        <v>75</v>
      </c>
      <c r="Q9" s="90"/>
      <c r="R9" s="90"/>
      <c r="S9" s="91"/>
      <c r="T9" s="24">
        <f>IF('Algemene gegevens'!U6=0,('Algemene gegevens'!$E$7-Berekeningen!T7)*100/39,'Algemene gegevens'!U6/1.33)</f>
        <v>191.02564102564102</v>
      </c>
      <c r="U9" s="18" t="s">
        <v>8</v>
      </c>
      <c r="V9" s="17"/>
    </row>
    <row r="10" spans="2:26" ht="15.6" x14ac:dyDescent="0.6">
      <c r="B10" s="61" t="s">
        <v>16</v>
      </c>
      <c r="C10" s="61"/>
      <c r="D10" s="61"/>
      <c r="E10" s="61"/>
      <c r="F10" s="24">
        <f>IF(V8=0,'Algemene gegevens'!U7/100/F9,V8)</f>
        <v>0.2932330827067669</v>
      </c>
      <c r="G10" s="18" t="s">
        <v>72</v>
      </c>
      <c r="H10" s="17"/>
      <c r="I10" s="100"/>
      <c r="J10" s="101"/>
      <c r="K10" s="101"/>
      <c r="L10" s="102"/>
      <c r="M10" s="24">
        <f>M9*1.33</f>
        <v>238.7179487179487</v>
      </c>
      <c r="N10" s="18" t="s">
        <v>15</v>
      </c>
      <c r="O10" s="17"/>
      <c r="P10" s="92"/>
      <c r="Q10" s="93"/>
      <c r="R10" s="93"/>
      <c r="S10" s="94"/>
      <c r="T10" s="24">
        <f>T9*1.33</f>
        <v>254.06410256410257</v>
      </c>
      <c r="U10" s="18" t="s">
        <v>15</v>
      </c>
      <c r="V10" s="17"/>
    </row>
    <row r="11" spans="2:26" ht="15.6" x14ac:dyDescent="0.6">
      <c r="B11" s="17"/>
      <c r="C11" s="17"/>
      <c r="D11" s="17"/>
      <c r="E11" s="17"/>
      <c r="F11" s="17"/>
      <c r="G11" s="17"/>
      <c r="H11" s="17"/>
      <c r="I11" s="17"/>
      <c r="J11" s="17"/>
      <c r="K11" s="17"/>
      <c r="L11" s="17"/>
      <c r="M11" s="25"/>
      <c r="N11" s="17"/>
      <c r="O11" s="17"/>
      <c r="P11" s="17"/>
      <c r="Q11" s="17"/>
      <c r="R11" s="17"/>
      <c r="S11" s="17"/>
      <c r="T11" s="25"/>
      <c r="U11" s="17"/>
      <c r="V11" s="17"/>
    </row>
    <row r="12" spans="2:26" ht="15.6" x14ac:dyDescent="0.6">
      <c r="B12" s="17"/>
      <c r="C12" s="17"/>
      <c r="D12" s="17"/>
      <c r="E12" s="17"/>
      <c r="F12" s="17"/>
      <c r="G12" s="17"/>
      <c r="H12" s="17"/>
      <c r="I12" s="61" t="s">
        <v>76</v>
      </c>
      <c r="J12" s="61"/>
      <c r="K12" s="61"/>
      <c r="L12" s="61"/>
      <c r="M12" s="24">
        <f>M6+M9</f>
        <v>1179.4871794871794</v>
      </c>
      <c r="N12" s="18" t="s">
        <v>8</v>
      </c>
      <c r="O12" s="17"/>
      <c r="P12" s="61" t="s">
        <v>76</v>
      </c>
      <c r="Q12" s="61"/>
      <c r="R12" s="61"/>
      <c r="S12" s="61"/>
      <c r="T12" s="24">
        <f>T6+T9</f>
        <v>1041.0256410256411</v>
      </c>
      <c r="U12" s="18" t="s">
        <v>8</v>
      </c>
      <c r="V12" s="17"/>
    </row>
    <row r="13" spans="2:26" ht="15.6" x14ac:dyDescent="0.6">
      <c r="B13" s="17"/>
      <c r="C13" s="17"/>
      <c r="D13" s="17"/>
      <c r="E13" s="17"/>
      <c r="F13" s="17"/>
      <c r="G13" s="17"/>
      <c r="H13" s="17"/>
      <c r="I13" s="17"/>
      <c r="J13" s="17"/>
      <c r="K13" s="17"/>
      <c r="L13" s="17"/>
      <c r="M13" s="25"/>
      <c r="N13" s="17"/>
      <c r="O13" s="17"/>
      <c r="P13" s="17"/>
      <c r="Q13" s="17"/>
      <c r="R13" s="17"/>
      <c r="S13" s="17"/>
      <c r="T13" s="25"/>
      <c r="U13" s="17"/>
      <c r="V13" s="17"/>
    </row>
    <row r="14" spans="2:26" ht="15.6" x14ac:dyDescent="0.6">
      <c r="B14" s="17"/>
      <c r="C14" s="17"/>
      <c r="D14" s="17"/>
      <c r="E14" s="17"/>
      <c r="F14" s="17"/>
      <c r="G14" s="17"/>
      <c r="H14" s="17"/>
      <c r="I14" s="95" t="s">
        <v>132</v>
      </c>
      <c r="J14" s="95"/>
      <c r="K14" s="95"/>
      <c r="L14" s="95"/>
      <c r="M14" s="24">
        <f>M7/'Algemene gegevens'!$U$7*100</f>
        <v>76.923076923076934</v>
      </c>
      <c r="N14" s="18" t="s">
        <v>8</v>
      </c>
      <c r="O14" s="17"/>
      <c r="P14" s="95" t="s">
        <v>132</v>
      </c>
      <c r="Q14" s="95"/>
      <c r="R14" s="95"/>
      <c r="S14" s="95"/>
      <c r="T14" s="24">
        <f>T7/'Algemene gegevens'!$U$7*100</f>
        <v>65.384615384615387</v>
      </c>
      <c r="U14" s="18" t="s">
        <v>8</v>
      </c>
      <c r="V14" s="17"/>
    </row>
    <row r="15" spans="2:26" ht="18.3" x14ac:dyDescent="0.7">
      <c r="B15" s="23" t="s">
        <v>62</v>
      </c>
      <c r="C15" s="14"/>
      <c r="D15" s="15"/>
      <c r="E15" s="15"/>
      <c r="F15" s="15"/>
      <c r="G15" s="15"/>
      <c r="H15" s="17"/>
      <c r="I15" s="95"/>
      <c r="J15" s="95"/>
      <c r="K15" s="95"/>
      <c r="L15" s="95"/>
      <c r="M15" s="24">
        <f>M14*1.33</f>
        <v>102.30769230769232</v>
      </c>
      <c r="N15" s="18" t="s">
        <v>15</v>
      </c>
      <c r="O15" s="17"/>
      <c r="P15" s="95"/>
      <c r="Q15" s="95"/>
      <c r="R15" s="95"/>
      <c r="S15" s="95"/>
      <c r="T15" s="24">
        <f>T14*1.33</f>
        <v>86.961538461538467</v>
      </c>
      <c r="U15" s="18" t="s">
        <v>15</v>
      </c>
      <c r="V15" s="17"/>
    </row>
    <row r="16" spans="2:26" ht="15.6" x14ac:dyDescent="0.6">
      <c r="B16" s="96" t="s">
        <v>64</v>
      </c>
      <c r="C16" s="96"/>
      <c r="D16" s="96"/>
      <c r="E16" s="96"/>
      <c r="F16" s="24">
        <f>'Algemene gegevens'!E7/Berekeningen!F10</f>
        <v>341.02564102564105</v>
      </c>
      <c r="G16" s="18" t="s">
        <v>15</v>
      </c>
      <c r="H16" s="17"/>
      <c r="I16" s="17"/>
      <c r="J16" s="17"/>
      <c r="K16" s="17"/>
      <c r="L16" s="17"/>
      <c r="M16" s="17"/>
      <c r="N16" s="17"/>
      <c r="O16" s="17"/>
      <c r="P16" s="17"/>
      <c r="Q16" s="17"/>
      <c r="R16" s="17"/>
      <c r="S16" s="17"/>
      <c r="T16" s="17"/>
      <c r="U16" s="17"/>
      <c r="V16" s="17"/>
    </row>
    <row r="17" spans="2:22" ht="15.6" x14ac:dyDescent="0.6">
      <c r="B17" s="96"/>
      <c r="C17" s="96"/>
      <c r="D17" s="96"/>
      <c r="E17" s="96"/>
      <c r="F17" s="24">
        <f>F16*$F$6</f>
        <v>11935.897435897437</v>
      </c>
      <c r="G17" s="18" t="s">
        <v>68</v>
      </c>
      <c r="H17" s="17"/>
      <c r="I17" s="61" t="s">
        <v>150</v>
      </c>
      <c r="J17" s="61"/>
      <c r="K17" s="61"/>
      <c r="L17" s="61"/>
      <c r="M17" s="24">
        <f>M7*'Algemene gegevens'!L10</f>
        <v>87</v>
      </c>
      <c r="N17" s="18" t="s">
        <v>15</v>
      </c>
      <c r="O17" s="17"/>
      <c r="P17" s="61" t="s">
        <v>150</v>
      </c>
      <c r="Q17" s="61"/>
      <c r="R17" s="61"/>
      <c r="S17" s="61"/>
      <c r="T17" s="24">
        <f>T7*'Algemene gegevens'!L10</f>
        <v>73.95</v>
      </c>
      <c r="U17" s="18" t="s">
        <v>15</v>
      </c>
    </row>
    <row r="18" spans="2:22" ht="15.6" x14ac:dyDescent="0.6">
      <c r="B18" s="96" t="s">
        <v>69</v>
      </c>
      <c r="C18" s="96"/>
      <c r="D18" s="96"/>
      <c r="E18" s="96"/>
      <c r="F18" s="24">
        <f>IF('Algemene gegevens'!$U$9=0,(F16*('Algemene gegevens'!$U$10/1000*1.33))/1000,(F16*'Algemene gegevens'!$U$9)/1000)</f>
        <v>81.846153846153854</v>
      </c>
      <c r="G18" s="18" t="s">
        <v>35</v>
      </c>
      <c r="H18" s="16"/>
      <c r="O18" s="17"/>
    </row>
    <row r="19" spans="2:22" ht="15.6" x14ac:dyDescent="0.6">
      <c r="B19" s="96"/>
      <c r="C19" s="96"/>
      <c r="D19" s="96"/>
      <c r="E19" s="96"/>
      <c r="F19" s="24">
        <f>F18*$F$6</f>
        <v>2864.6153846153848</v>
      </c>
      <c r="G19" s="18" t="s">
        <v>25</v>
      </c>
      <c r="H19" s="17"/>
      <c r="I19" s="61" t="s">
        <v>78</v>
      </c>
      <c r="J19" s="61"/>
      <c r="K19" s="61"/>
      <c r="L19" s="61"/>
      <c r="M19" s="18">
        <f>IF('Algemene gegevens'!$L$9=0,M6*'Algemene gegevens'!$L$8,'Algemene gegevens'!$L$9/1000*M6)</f>
        <v>0</v>
      </c>
      <c r="N19" s="18" t="s">
        <v>35</v>
      </c>
      <c r="O19" s="17"/>
      <c r="P19" s="61" t="s">
        <v>78</v>
      </c>
      <c r="Q19" s="61"/>
      <c r="R19" s="61"/>
      <c r="S19" s="61"/>
      <c r="T19" s="18">
        <f>IF('Algemene gegevens'!$L$9=0,T6*'Algemene gegevens'!$L$8,'Algemene gegevens'!$L$9/1000*T6)</f>
        <v>0</v>
      </c>
      <c r="U19" s="18" t="s">
        <v>35</v>
      </c>
      <c r="V19" s="17"/>
    </row>
    <row r="20" spans="2:22" ht="15.6" x14ac:dyDescent="0.6">
      <c r="B20" s="17"/>
      <c r="C20" s="17"/>
      <c r="D20" s="17"/>
      <c r="E20" s="17"/>
      <c r="F20" s="17"/>
      <c r="G20" s="17"/>
      <c r="H20" s="17"/>
      <c r="I20" s="61" t="s">
        <v>69</v>
      </c>
      <c r="J20" s="61"/>
      <c r="K20" s="61"/>
      <c r="L20" s="61"/>
      <c r="M20" s="24">
        <f>IF('Algemene gegevens'!$U$9=0,(M10*('Algemene gegevens'!$U$10/1000*1.33))/1000,(M10*'Algemene gegevens'!$U$9)/1000)</f>
        <v>57.292307692307688</v>
      </c>
      <c r="N20" s="18" t="s">
        <v>35</v>
      </c>
      <c r="O20" s="17"/>
      <c r="P20" s="61" t="s">
        <v>69</v>
      </c>
      <c r="Q20" s="61"/>
      <c r="R20" s="61"/>
      <c r="S20" s="61"/>
      <c r="T20" s="24">
        <f>IF('Algemene gegevens'!$U$9=0,(T10*('Algemene gegevens'!$U$10/1000*1.33))/1000,(T10*'Algemene gegevens'!$U$9)/1000)</f>
        <v>60.97538461538462</v>
      </c>
      <c r="U20" s="18" t="s">
        <v>35</v>
      </c>
      <c r="V20" s="17"/>
    </row>
    <row r="21" spans="2:22" ht="15.6" x14ac:dyDescent="0.6">
      <c r="B21" s="17"/>
      <c r="C21" s="17"/>
      <c r="D21" s="17"/>
      <c r="E21" s="17"/>
      <c r="F21" s="17"/>
      <c r="G21" s="17"/>
      <c r="H21" s="17"/>
      <c r="I21" s="32" t="s">
        <v>77</v>
      </c>
      <c r="J21" s="33"/>
      <c r="K21" s="33"/>
      <c r="L21" s="34"/>
      <c r="M21" s="24">
        <f>SUM(M19:M20)</f>
        <v>57.292307692307688</v>
      </c>
      <c r="N21" s="18" t="s">
        <v>35</v>
      </c>
      <c r="O21" s="17"/>
      <c r="P21" s="32" t="s">
        <v>77</v>
      </c>
      <c r="Q21" s="33"/>
      <c r="R21" s="33"/>
      <c r="S21" s="34"/>
      <c r="T21" s="24">
        <f>SUM(T19:T20)</f>
        <v>60.97538461538462</v>
      </c>
      <c r="U21" s="18" t="s">
        <v>35</v>
      </c>
      <c r="V21" s="17"/>
    </row>
    <row r="22" spans="2:22" ht="15.6" customHeight="1" x14ac:dyDescent="0.6">
      <c r="B22" s="17"/>
      <c r="C22" s="17"/>
      <c r="D22" s="17"/>
      <c r="E22" s="17"/>
      <c r="F22" s="17"/>
      <c r="G22" s="17"/>
      <c r="H22" s="17"/>
      <c r="I22" s="35"/>
      <c r="J22" s="36"/>
      <c r="K22" s="36"/>
      <c r="L22" s="37"/>
      <c r="M22" s="24">
        <f>M21*F6</f>
        <v>2005.2307692307691</v>
      </c>
      <c r="N22" s="18" t="s">
        <v>25</v>
      </c>
      <c r="O22" s="17"/>
      <c r="P22" s="35"/>
      <c r="Q22" s="36"/>
      <c r="R22" s="36"/>
      <c r="S22" s="37"/>
      <c r="T22" s="24">
        <f>T21*F6</f>
        <v>2134.1384615384618</v>
      </c>
      <c r="U22" s="18" t="s">
        <v>25</v>
      </c>
      <c r="V22" s="17"/>
    </row>
    <row r="23" spans="2:22" ht="15.6" x14ac:dyDescent="0.6">
      <c r="B23" s="17"/>
      <c r="C23" s="17"/>
      <c r="D23" s="17"/>
      <c r="E23" s="17"/>
      <c r="F23" s="17"/>
      <c r="G23" s="17"/>
      <c r="H23" s="17"/>
      <c r="I23" s="17"/>
      <c r="J23" s="17"/>
      <c r="K23" s="17"/>
      <c r="L23" s="17"/>
      <c r="M23" s="17"/>
      <c r="N23" s="17"/>
      <c r="O23" s="17"/>
      <c r="P23" s="17"/>
      <c r="Q23" s="17"/>
      <c r="R23" s="17"/>
      <c r="S23" s="17"/>
      <c r="T23" s="17"/>
      <c r="U23" s="17"/>
      <c r="V23" s="17"/>
    </row>
    <row r="24" spans="2:22" ht="15.6" x14ac:dyDescent="0.6">
      <c r="B24" s="17"/>
      <c r="C24" s="17"/>
      <c r="D24" s="17"/>
      <c r="E24" s="17"/>
      <c r="F24" s="17"/>
      <c r="G24" s="17"/>
      <c r="H24" s="17"/>
      <c r="I24" s="89" t="s">
        <v>88</v>
      </c>
      <c r="J24" s="90"/>
      <c r="K24" s="90"/>
      <c r="L24" s="91"/>
      <c r="M24" s="26">
        <f>F18-M21</f>
        <v>24.553846153846166</v>
      </c>
      <c r="N24" s="18" t="s">
        <v>35</v>
      </c>
      <c r="O24" s="17"/>
      <c r="P24" s="89" t="s">
        <v>88</v>
      </c>
      <c r="Q24" s="90"/>
      <c r="R24" s="90"/>
      <c r="S24" s="91"/>
      <c r="T24" s="26">
        <f>F18-T21</f>
        <v>20.870769230769234</v>
      </c>
      <c r="U24" s="18" t="s">
        <v>35</v>
      </c>
      <c r="V24" s="17"/>
    </row>
    <row r="25" spans="2:22" ht="18.3" x14ac:dyDescent="0.7">
      <c r="B25" s="23" t="s">
        <v>133</v>
      </c>
      <c r="C25" s="14"/>
      <c r="D25" s="15"/>
      <c r="E25" s="15"/>
      <c r="F25" s="15"/>
      <c r="G25" s="15"/>
      <c r="H25" s="17"/>
      <c r="I25" s="92"/>
      <c r="J25" s="93"/>
      <c r="K25" s="93"/>
      <c r="L25" s="94"/>
      <c r="M25" s="24">
        <f>F19-M22</f>
        <v>859.3846153846157</v>
      </c>
      <c r="N25" s="18" t="s">
        <v>25</v>
      </c>
      <c r="O25" s="17"/>
      <c r="P25" s="92"/>
      <c r="Q25" s="93"/>
      <c r="R25" s="93"/>
      <c r="S25" s="94"/>
      <c r="T25" s="24">
        <f>F19-T22</f>
        <v>730.47692307692296</v>
      </c>
      <c r="U25" s="18" t="s">
        <v>25</v>
      </c>
      <c r="V25" s="17"/>
    </row>
    <row r="26" spans="2:22" ht="15.6" x14ac:dyDescent="0.6">
      <c r="B26" s="17"/>
      <c r="C26" s="17"/>
      <c r="D26" s="17"/>
      <c r="E26" s="17"/>
      <c r="F26" s="17"/>
      <c r="G26" s="17"/>
      <c r="H26" s="17"/>
      <c r="I26" s="17"/>
      <c r="J26" s="17"/>
      <c r="K26" s="17"/>
      <c r="L26" s="17"/>
      <c r="M26" s="17"/>
      <c r="N26" s="17"/>
      <c r="O26" s="17"/>
      <c r="P26" s="17"/>
      <c r="Q26" s="17"/>
      <c r="R26" s="17"/>
      <c r="S26" s="17"/>
      <c r="T26" s="17"/>
      <c r="U26" s="17"/>
      <c r="V26" s="17"/>
    </row>
    <row r="27" spans="2:22" ht="18.3" x14ac:dyDescent="0.7">
      <c r="B27" s="61" t="s">
        <v>51</v>
      </c>
      <c r="C27" s="61"/>
      <c r="D27" s="61"/>
      <c r="E27" s="61"/>
      <c r="F27" s="18">
        <f>'Algemene gegevens'!E19</f>
        <v>7500</v>
      </c>
      <c r="G27" s="18" t="s">
        <v>25</v>
      </c>
      <c r="H27" s="17"/>
      <c r="I27" s="17"/>
      <c r="J27" s="17"/>
      <c r="K27" s="17"/>
      <c r="L27" s="17"/>
      <c r="M27" s="17"/>
      <c r="N27" s="17"/>
      <c r="O27" s="17"/>
      <c r="P27" s="23" t="s">
        <v>134</v>
      </c>
      <c r="Q27" s="15"/>
      <c r="R27" s="15"/>
      <c r="S27" s="15"/>
      <c r="T27" s="15"/>
      <c r="U27" s="15"/>
      <c r="V27" s="17"/>
    </row>
    <row r="28" spans="2:22" ht="15.6" x14ac:dyDescent="0.6">
      <c r="B28" s="61" t="s">
        <v>52</v>
      </c>
      <c r="C28" s="61"/>
      <c r="D28" s="61"/>
      <c r="E28" s="61"/>
      <c r="F28" s="18">
        <f>'Algemene gegevens'!E13</f>
        <v>15</v>
      </c>
      <c r="G28" s="18" t="s">
        <v>20</v>
      </c>
      <c r="H28" s="17"/>
      <c r="I28" s="17"/>
      <c r="J28" s="17"/>
      <c r="K28" s="17"/>
      <c r="L28" s="17"/>
      <c r="M28" s="17"/>
      <c r="N28" s="17"/>
      <c r="O28" s="17"/>
      <c r="P28" s="17"/>
      <c r="Q28" s="17"/>
      <c r="R28" s="17"/>
      <c r="S28" s="17"/>
      <c r="T28" s="17"/>
      <c r="U28" s="17"/>
      <c r="V28" s="17"/>
    </row>
    <row r="29" spans="2:22" ht="15.6" x14ac:dyDescent="0.6">
      <c r="B29" s="61" t="s">
        <v>57</v>
      </c>
      <c r="C29" s="61"/>
      <c r="D29" s="61"/>
      <c r="E29" s="61"/>
      <c r="F29" s="18">
        <f>'Algemene gegevens'!U17</f>
        <v>2</v>
      </c>
      <c r="G29" s="18" t="s">
        <v>56</v>
      </c>
      <c r="H29" s="17"/>
      <c r="I29" s="17"/>
      <c r="J29" s="17"/>
      <c r="K29" s="17"/>
      <c r="L29" s="17"/>
      <c r="M29" s="17"/>
      <c r="N29" s="17"/>
      <c r="O29" s="17"/>
      <c r="P29" s="30" t="s">
        <v>51</v>
      </c>
      <c r="Q29" s="30"/>
      <c r="R29" s="30"/>
      <c r="S29" s="30"/>
      <c r="T29" s="18">
        <f>'Algemene gegevens'!L19</f>
        <v>8000</v>
      </c>
      <c r="U29" s="18" t="s">
        <v>25</v>
      </c>
      <c r="V29" s="17"/>
    </row>
    <row r="30" spans="2:22" ht="15.6" x14ac:dyDescent="0.6">
      <c r="B30" s="17"/>
      <c r="C30" s="17"/>
      <c r="D30" s="17"/>
      <c r="E30" s="17"/>
      <c r="F30" s="17"/>
      <c r="G30" s="17"/>
      <c r="H30" s="17"/>
      <c r="I30" s="17"/>
      <c r="J30" s="17"/>
      <c r="K30" s="17"/>
      <c r="L30" s="17"/>
      <c r="M30" s="17"/>
      <c r="N30" s="17"/>
      <c r="O30" s="17"/>
      <c r="P30" s="30" t="s">
        <v>52</v>
      </c>
      <c r="Q30" s="30"/>
      <c r="R30" s="30"/>
      <c r="S30" s="30"/>
      <c r="T30" s="18">
        <f>'Algemene gegevens'!L13</f>
        <v>15</v>
      </c>
      <c r="U30" s="18" t="s">
        <v>20</v>
      </c>
      <c r="V30" s="17"/>
    </row>
    <row r="31" spans="2:22" ht="15.6" x14ac:dyDescent="0.6">
      <c r="B31" s="18" t="s">
        <v>53</v>
      </c>
      <c r="C31" s="17"/>
      <c r="D31" s="61" t="s">
        <v>54</v>
      </c>
      <c r="E31" s="61"/>
      <c r="F31" s="18" t="s">
        <v>55</v>
      </c>
      <c r="G31" s="88" t="s">
        <v>87</v>
      </c>
      <c r="H31" s="88"/>
      <c r="I31" s="17"/>
      <c r="J31" s="17"/>
      <c r="K31" s="17"/>
      <c r="L31" s="17"/>
      <c r="M31" s="17"/>
      <c r="N31" s="17"/>
      <c r="O31" s="17"/>
      <c r="P31" s="30" t="s">
        <v>57</v>
      </c>
      <c r="Q31" s="30"/>
      <c r="R31" s="30"/>
      <c r="S31" s="30"/>
      <c r="T31" s="18">
        <f>'Algemene gegevens'!U18</f>
        <v>2</v>
      </c>
      <c r="U31" s="18" t="s">
        <v>56</v>
      </c>
      <c r="V31" s="17"/>
    </row>
    <row r="32" spans="2:22" ht="15.6" x14ac:dyDescent="0.6">
      <c r="B32" s="18">
        <v>1</v>
      </c>
      <c r="C32" s="17"/>
      <c r="D32" s="27">
        <f>F27</f>
        <v>7500</v>
      </c>
      <c r="E32" s="17"/>
      <c r="F32" s="18">
        <f t="shared" ref="F32:F46" si="0">D32*$F$29/100/$F$6</f>
        <v>4.2857142857142856</v>
      </c>
      <c r="G32" s="17"/>
      <c r="H32" s="28">
        <f>IF(F28=5,AVERAGE(F32:F36),IF(F28=10,AVERAGE(F32:F41),AVERAGE(F32:F46)))</f>
        <v>2.2857142857142856</v>
      </c>
      <c r="I32" s="17"/>
      <c r="J32" s="17"/>
      <c r="K32" s="17"/>
      <c r="L32" s="17"/>
      <c r="M32" s="17"/>
      <c r="N32" s="17"/>
      <c r="O32" s="17"/>
      <c r="P32" s="17"/>
      <c r="Q32" s="17"/>
      <c r="R32" s="17"/>
      <c r="S32" s="17"/>
      <c r="T32" s="17"/>
      <c r="U32" s="17"/>
      <c r="V32" s="17"/>
    </row>
    <row r="33" spans="2:22" ht="15.6" x14ac:dyDescent="0.6">
      <c r="B33" s="18">
        <v>2</v>
      </c>
      <c r="C33" s="17"/>
      <c r="D33" s="24">
        <f t="shared" ref="D33:D46" si="1">D32-($D$32/$F$28)</f>
        <v>7000</v>
      </c>
      <c r="E33" s="17"/>
      <c r="F33" s="24">
        <f t="shared" si="0"/>
        <v>4</v>
      </c>
      <c r="G33" s="17"/>
      <c r="H33" s="17"/>
      <c r="I33" s="17"/>
      <c r="J33" s="17"/>
      <c r="K33" s="17"/>
      <c r="L33" s="17"/>
      <c r="M33" s="17"/>
      <c r="N33" s="17"/>
      <c r="O33" s="17"/>
      <c r="P33" s="18" t="s">
        <v>53</v>
      </c>
      <c r="Q33" s="17"/>
      <c r="R33" s="52" t="s">
        <v>54</v>
      </c>
      <c r="S33" s="54"/>
      <c r="T33" s="31" t="s">
        <v>55</v>
      </c>
      <c r="U33" s="84" t="s">
        <v>87</v>
      </c>
      <c r="V33" s="85"/>
    </row>
    <row r="34" spans="2:22" ht="15.6" x14ac:dyDescent="0.6">
      <c r="B34" s="18">
        <v>3</v>
      </c>
      <c r="C34" s="17"/>
      <c r="D34" s="24">
        <f t="shared" si="1"/>
        <v>6500</v>
      </c>
      <c r="E34" s="17"/>
      <c r="F34" s="24">
        <f t="shared" si="0"/>
        <v>3.7142857142857144</v>
      </c>
      <c r="G34" s="17"/>
      <c r="H34" s="17"/>
      <c r="I34" s="17"/>
      <c r="J34" s="17"/>
      <c r="K34" s="17"/>
      <c r="L34" s="17"/>
      <c r="M34" s="17"/>
      <c r="N34" s="17"/>
      <c r="O34" s="17"/>
      <c r="P34" s="18">
        <v>1</v>
      </c>
      <c r="Q34" s="17"/>
      <c r="R34" s="28">
        <f>T29</f>
        <v>8000</v>
      </c>
      <c r="S34" s="17"/>
      <c r="T34" s="24">
        <f t="shared" ref="T34:T48" si="2">R34*$T$31/100/$F$6</f>
        <v>4.5714285714285712</v>
      </c>
      <c r="U34" s="17"/>
      <c r="V34" s="24">
        <f>IF(T30=5,AVERAGE(T34:T38),IF(T30=10,AVERAGE(T34:T43),AVERAGE(T34:T48)))</f>
        <v>2.4380952380952388</v>
      </c>
    </row>
    <row r="35" spans="2:22" ht="15.6" x14ac:dyDescent="0.6">
      <c r="B35" s="18">
        <v>4</v>
      </c>
      <c r="C35" s="17"/>
      <c r="D35" s="24">
        <f t="shared" si="1"/>
        <v>6000</v>
      </c>
      <c r="E35" s="17"/>
      <c r="F35" s="24">
        <f t="shared" si="0"/>
        <v>3.4285714285714284</v>
      </c>
      <c r="G35" s="17"/>
      <c r="H35" s="17"/>
      <c r="I35" s="17"/>
      <c r="J35" s="17"/>
      <c r="K35" s="17"/>
      <c r="L35" s="17"/>
      <c r="M35" s="17"/>
      <c r="N35" s="17"/>
      <c r="O35" s="17"/>
      <c r="P35" s="18">
        <v>2</v>
      </c>
      <c r="Q35" s="17"/>
      <c r="R35" s="24">
        <f t="shared" ref="R35:R48" si="3">R34-($R$34/$T$30)</f>
        <v>7466.666666666667</v>
      </c>
      <c r="S35" s="17"/>
      <c r="T35" s="24">
        <f t="shared" si="2"/>
        <v>4.2666666666666666</v>
      </c>
      <c r="U35" s="17"/>
      <c r="V35" s="17"/>
    </row>
    <row r="36" spans="2:22" ht="15.6" x14ac:dyDescent="0.6">
      <c r="B36" s="18">
        <v>5</v>
      </c>
      <c r="C36" s="17"/>
      <c r="D36" s="24">
        <f t="shared" si="1"/>
        <v>5500</v>
      </c>
      <c r="E36" s="17"/>
      <c r="F36" s="24">
        <f t="shared" si="0"/>
        <v>3.1428571428571428</v>
      </c>
      <c r="G36" s="17"/>
      <c r="H36" s="17"/>
      <c r="I36" s="17"/>
      <c r="J36" s="17"/>
      <c r="K36" s="17"/>
      <c r="L36" s="17"/>
      <c r="M36" s="17"/>
      <c r="N36" s="17"/>
      <c r="O36" s="17"/>
      <c r="P36" s="18">
        <v>3</v>
      </c>
      <c r="Q36" s="17"/>
      <c r="R36" s="24">
        <f t="shared" si="3"/>
        <v>6933.3333333333339</v>
      </c>
      <c r="S36" s="17"/>
      <c r="T36" s="24">
        <f t="shared" si="2"/>
        <v>3.9619047619047625</v>
      </c>
      <c r="U36" s="17"/>
      <c r="V36" s="17"/>
    </row>
    <row r="37" spans="2:22" ht="15.6" x14ac:dyDescent="0.6">
      <c r="B37" s="18">
        <f>IF($F$28=10,6,IF($F$28=15,6,""))</f>
        <v>6</v>
      </c>
      <c r="C37" s="17"/>
      <c r="D37" s="24">
        <f t="shared" si="1"/>
        <v>5000</v>
      </c>
      <c r="E37" s="17"/>
      <c r="F37" s="24">
        <f t="shared" si="0"/>
        <v>2.8571428571428572</v>
      </c>
      <c r="G37" s="17"/>
      <c r="H37" s="17"/>
      <c r="I37" s="17"/>
      <c r="J37" s="17"/>
      <c r="K37" s="17"/>
      <c r="L37" s="17"/>
      <c r="M37" s="17"/>
      <c r="N37" s="17"/>
      <c r="O37" s="17"/>
      <c r="P37" s="18">
        <v>4</v>
      </c>
      <c r="Q37" s="17"/>
      <c r="R37" s="24">
        <f t="shared" si="3"/>
        <v>6400.0000000000009</v>
      </c>
      <c r="S37" s="17"/>
      <c r="T37" s="24">
        <f t="shared" si="2"/>
        <v>3.6571428571428579</v>
      </c>
      <c r="U37" s="17"/>
      <c r="V37" s="17"/>
    </row>
    <row r="38" spans="2:22" ht="15.6" x14ac:dyDescent="0.6">
      <c r="B38" s="18">
        <f>IF($F$28=10,7,IF($F$28=15,7,""))</f>
        <v>7</v>
      </c>
      <c r="C38" s="17"/>
      <c r="D38" s="24">
        <f t="shared" si="1"/>
        <v>4500</v>
      </c>
      <c r="E38" s="17"/>
      <c r="F38" s="24">
        <f t="shared" si="0"/>
        <v>2.5714285714285716</v>
      </c>
      <c r="G38" s="17"/>
      <c r="H38" s="17"/>
      <c r="I38" s="17"/>
      <c r="J38" s="17"/>
      <c r="K38" s="17"/>
      <c r="L38" s="17"/>
      <c r="M38" s="17"/>
      <c r="N38" s="17"/>
      <c r="O38" s="17"/>
      <c r="P38" s="18">
        <v>5</v>
      </c>
      <c r="Q38" s="17"/>
      <c r="R38" s="24">
        <f t="shared" si="3"/>
        <v>5866.6666666666679</v>
      </c>
      <c r="S38" s="17"/>
      <c r="T38" s="24">
        <f t="shared" si="2"/>
        <v>3.3523809523809529</v>
      </c>
      <c r="U38" s="17"/>
      <c r="V38" s="17"/>
    </row>
    <row r="39" spans="2:22" ht="15.6" x14ac:dyDescent="0.6">
      <c r="B39" s="18">
        <f>IF($F$28=10,8,IF($F$28=15,8,""))</f>
        <v>8</v>
      </c>
      <c r="C39" s="17"/>
      <c r="D39" s="24">
        <f t="shared" si="1"/>
        <v>4000</v>
      </c>
      <c r="E39" s="17"/>
      <c r="F39" s="24">
        <f t="shared" si="0"/>
        <v>2.2857142857142856</v>
      </c>
      <c r="G39" s="17"/>
      <c r="H39" s="17"/>
      <c r="I39" s="17"/>
      <c r="J39" s="17"/>
      <c r="K39" s="17"/>
      <c r="L39" s="17"/>
      <c r="M39" s="17"/>
      <c r="N39" s="17"/>
      <c r="O39" s="17"/>
      <c r="P39" s="18">
        <f>IF($T$30=10,6,IF($T$30=15,6,""))</f>
        <v>6</v>
      </c>
      <c r="Q39" s="17"/>
      <c r="R39" s="24">
        <f t="shared" si="3"/>
        <v>5333.3333333333348</v>
      </c>
      <c r="S39" s="17"/>
      <c r="T39" s="24">
        <f t="shared" si="2"/>
        <v>3.0476190476190488</v>
      </c>
      <c r="U39" s="17"/>
      <c r="V39" s="17"/>
    </row>
    <row r="40" spans="2:22" ht="15.6" x14ac:dyDescent="0.6">
      <c r="B40" s="18">
        <f>IF($F$28=10,9,IF($F$28=15,9,""))</f>
        <v>9</v>
      </c>
      <c r="C40" s="17"/>
      <c r="D40" s="24">
        <f t="shared" si="1"/>
        <v>3500</v>
      </c>
      <c r="E40" s="17"/>
      <c r="F40" s="24">
        <f t="shared" si="0"/>
        <v>2</v>
      </c>
      <c r="G40" s="17"/>
      <c r="H40" s="17"/>
      <c r="I40" s="17"/>
      <c r="J40" s="17"/>
      <c r="K40" s="17"/>
      <c r="L40" s="17"/>
      <c r="M40" s="17"/>
      <c r="N40" s="17"/>
      <c r="O40" s="17"/>
      <c r="P40" s="18">
        <f>IF($T$30=10,7,IF($T$30=15,7,""))</f>
        <v>7</v>
      </c>
      <c r="Q40" s="17"/>
      <c r="R40" s="24">
        <f t="shared" si="3"/>
        <v>4800.0000000000018</v>
      </c>
      <c r="S40" s="17"/>
      <c r="T40" s="24">
        <f t="shared" si="2"/>
        <v>2.7428571428571442</v>
      </c>
      <c r="U40" s="17"/>
      <c r="V40" s="17"/>
    </row>
    <row r="41" spans="2:22" ht="15.6" x14ac:dyDescent="0.6">
      <c r="B41" s="18">
        <f>IF($F$28=10,10,IF($F$28=15,10,""))</f>
        <v>10</v>
      </c>
      <c r="C41" s="17"/>
      <c r="D41" s="24">
        <f t="shared" si="1"/>
        <v>3000</v>
      </c>
      <c r="E41" s="17"/>
      <c r="F41" s="24">
        <f t="shared" si="0"/>
        <v>1.7142857142857142</v>
      </c>
      <c r="G41" s="17"/>
      <c r="H41" s="17"/>
      <c r="I41" s="17"/>
      <c r="J41" s="17"/>
      <c r="K41" s="17"/>
      <c r="L41" s="17"/>
      <c r="M41" s="17"/>
      <c r="N41" s="17"/>
      <c r="O41" s="17"/>
      <c r="P41" s="18">
        <f>IF($T$30=10,8,IF($T$30=15,8,""))</f>
        <v>8</v>
      </c>
      <c r="Q41" s="17"/>
      <c r="R41" s="24">
        <f t="shared" si="3"/>
        <v>4266.6666666666688</v>
      </c>
      <c r="S41" s="17"/>
      <c r="T41" s="24">
        <f t="shared" si="2"/>
        <v>2.4380952380952392</v>
      </c>
      <c r="U41" s="17"/>
      <c r="V41" s="17"/>
    </row>
    <row r="42" spans="2:22" ht="15.6" x14ac:dyDescent="0.6">
      <c r="B42" s="18">
        <f>IF($F$28=15,11,"")</f>
        <v>11</v>
      </c>
      <c r="C42" s="17"/>
      <c r="D42" s="24">
        <f t="shared" si="1"/>
        <v>2500</v>
      </c>
      <c r="E42" s="17"/>
      <c r="F42" s="24">
        <f t="shared" si="0"/>
        <v>1.4285714285714286</v>
      </c>
      <c r="G42" s="17"/>
      <c r="H42" s="17"/>
      <c r="I42" s="17"/>
      <c r="J42" s="17"/>
      <c r="K42" s="17"/>
      <c r="L42" s="17"/>
      <c r="M42" s="17"/>
      <c r="N42" s="17"/>
      <c r="O42" s="17"/>
      <c r="P42" s="18">
        <f>IF($T$30=10,9,IF($T$30=15,9,""))</f>
        <v>9</v>
      </c>
      <c r="Q42" s="17"/>
      <c r="R42" s="24">
        <f t="shared" si="3"/>
        <v>3733.3333333333353</v>
      </c>
      <c r="S42" s="17"/>
      <c r="T42" s="24">
        <f t="shared" si="2"/>
        <v>2.1333333333333342</v>
      </c>
      <c r="U42" s="17"/>
      <c r="V42" s="17"/>
    </row>
    <row r="43" spans="2:22" ht="15.6" x14ac:dyDescent="0.6">
      <c r="B43" s="18">
        <f>IF($F$28=15,12,"")</f>
        <v>12</v>
      </c>
      <c r="C43" s="17"/>
      <c r="D43" s="24">
        <f t="shared" si="1"/>
        <v>2000</v>
      </c>
      <c r="E43" s="17"/>
      <c r="F43" s="24">
        <f t="shared" si="0"/>
        <v>1.1428571428571428</v>
      </c>
      <c r="G43" s="17"/>
      <c r="H43" s="17"/>
      <c r="I43" s="17"/>
      <c r="J43" s="17"/>
      <c r="K43" s="17"/>
      <c r="L43" s="17"/>
      <c r="M43" s="17"/>
      <c r="N43" s="17"/>
      <c r="O43" s="17"/>
      <c r="P43" s="18">
        <f>IF($T$30=10,10,IF($T$30=15,10,""))</f>
        <v>10</v>
      </c>
      <c r="Q43" s="17"/>
      <c r="R43" s="24">
        <f t="shared" si="3"/>
        <v>3200.0000000000018</v>
      </c>
      <c r="S43" s="17"/>
      <c r="T43" s="24">
        <f t="shared" si="2"/>
        <v>1.8285714285714298</v>
      </c>
      <c r="U43" s="17"/>
      <c r="V43" s="17"/>
    </row>
    <row r="44" spans="2:22" ht="15.6" x14ac:dyDescent="0.6">
      <c r="B44" s="18">
        <f>IF($F$28=15,13,"")</f>
        <v>13</v>
      </c>
      <c r="C44" s="17"/>
      <c r="D44" s="24">
        <f t="shared" si="1"/>
        <v>1500</v>
      </c>
      <c r="E44" s="17"/>
      <c r="F44" s="24">
        <f t="shared" si="0"/>
        <v>0.8571428571428571</v>
      </c>
      <c r="G44" s="17"/>
      <c r="H44" s="17"/>
      <c r="I44" s="17"/>
      <c r="J44" s="17"/>
      <c r="K44" s="17"/>
      <c r="L44" s="17"/>
      <c r="M44" s="17"/>
      <c r="N44" s="17"/>
      <c r="O44" s="17"/>
      <c r="P44" s="18">
        <f>IF($T$30=15,11,"")</f>
        <v>11</v>
      </c>
      <c r="Q44" s="17"/>
      <c r="R44" s="24">
        <f t="shared" si="3"/>
        <v>2666.6666666666683</v>
      </c>
      <c r="S44" s="17"/>
      <c r="T44" s="24">
        <f t="shared" si="2"/>
        <v>1.5238095238095246</v>
      </c>
      <c r="U44" s="17"/>
      <c r="V44" s="17"/>
    </row>
    <row r="45" spans="2:22" ht="15.6" x14ac:dyDescent="0.6">
      <c r="B45" s="18">
        <f>IF($F$28=15,14,"")</f>
        <v>14</v>
      </c>
      <c r="C45" s="17"/>
      <c r="D45" s="24">
        <f t="shared" si="1"/>
        <v>1000</v>
      </c>
      <c r="E45" s="17"/>
      <c r="F45" s="24">
        <f t="shared" si="0"/>
        <v>0.5714285714285714</v>
      </c>
      <c r="G45" s="17"/>
      <c r="H45" s="17"/>
      <c r="I45" s="17"/>
      <c r="J45" s="17"/>
      <c r="K45" s="17"/>
      <c r="L45" s="17"/>
      <c r="M45" s="17"/>
      <c r="N45" s="17"/>
      <c r="O45" s="17"/>
      <c r="P45" s="18">
        <f>IF($T$30=15,12,"")</f>
        <v>12</v>
      </c>
      <c r="Q45" s="17"/>
      <c r="R45" s="24">
        <f t="shared" si="3"/>
        <v>2133.3333333333348</v>
      </c>
      <c r="S45" s="17"/>
      <c r="T45" s="24">
        <f t="shared" si="2"/>
        <v>1.21904761904762</v>
      </c>
      <c r="U45" s="17"/>
      <c r="V45" s="17"/>
    </row>
    <row r="46" spans="2:22" ht="15.6" x14ac:dyDescent="0.6">
      <c r="B46" s="18">
        <f>IF($F$28=15,15,"")</f>
        <v>15</v>
      </c>
      <c r="C46" s="17"/>
      <c r="D46" s="24">
        <f t="shared" si="1"/>
        <v>500</v>
      </c>
      <c r="E46" s="17"/>
      <c r="F46" s="24">
        <f t="shared" si="0"/>
        <v>0.2857142857142857</v>
      </c>
      <c r="G46" s="17"/>
      <c r="H46" s="17"/>
      <c r="I46" s="17"/>
      <c r="J46" s="17"/>
      <c r="K46" s="17"/>
      <c r="L46" s="17"/>
      <c r="M46" s="17"/>
      <c r="N46" s="17"/>
      <c r="O46" s="17"/>
      <c r="P46" s="18">
        <f>IF($T$30=15,13,"")</f>
        <v>13</v>
      </c>
      <c r="Q46" s="17"/>
      <c r="R46" s="24">
        <f t="shared" si="3"/>
        <v>1600.0000000000014</v>
      </c>
      <c r="S46" s="17"/>
      <c r="T46" s="24">
        <f t="shared" si="2"/>
        <v>0.91428571428571515</v>
      </c>
      <c r="U46" s="17"/>
      <c r="V46" s="17"/>
    </row>
    <row r="47" spans="2:22" ht="15.6" x14ac:dyDescent="0.6">
      <c r="B47" s="17"/>
      <c r="C47" s="17"/>
      <c r="D47" s="17"/>
      <c r="E47" s="17"/>
      <c r="F47" s="17"/>
      <c r="G47" s="17"/>
      <c r="H47" s="17"/>
      <c r="I47" s="17"/>
      <c r="J47" s="17"/>
      <c r="K47" s="17"/>
      <c r="L47" s="17"/>
      <c r="M47" s="17"/>
      <c r="N47" s="17"/>
      <c r="O47" s="17"/>
      <c r="P47" s="18">
        <f>IF($T$30=15,14,"")</f>
        <v>14</v>
      </c>
      <c r="Q47" s="17"/>
      <c r="R47" s="24">
        <f t="shared" si="3"/>
        <v>1066.6666666666679</v>
      </c>
      <c r="S47" s="17"/>
      <c r="T47" s="24">
        <f t="shared" si="2"/>
        <v>0.60952380952381024</v>
      </c>
      <c r="U47" s="17"/>
      <c r="V47" s="17"/>
    </row>
    <row r="48" spans="2:22" ht="15.6" x14ac:dyDescent="0.6">
      <c r="B48" s="17"/>
      <c r="C48" s="17"/>
      <c r="D48" s="17"/>
      <c r="E48" s="17"/>
      <c r="F48" s="17"/>
      <c r="G48" s="17"/>
      <c r="H48" s="17"/>
      <c r="I48" s="17"/>
      <c r="J48" s="17"/>
      <c r="K48" s="17"/>
      <c r="L48" s="17"/>
      <c r="M48" s="17"/>
      <c r="N48" s="17"/>
      <c r="O48" s="17"/>
      <c r="P48" s="18">
        <f>IF($T$30=15,15,"")</f>
        <v>15</v>
      </c>
      <c r="Q48" s="17"/>
      <c r="R48" s="24">
        <f t="shared" si="3"/>
        <v>533.33333333333451</v>
      </c>
      <c r="S48" s="17"/>
      <c r="T48" s="24">
        <f t="shared" si="2"/>
        <v>0.30476190476190546</v>
      </c>
      <c r="U48" s="17"/>
      <c r="V48" s="17"/>
    </row>
    <row r="49" spans="16:22" ht="15.6" x14ac:dyDescent="0.6">
      <c r="P49" s="17"/>
      <c r="Q49" s="17"/>
      <c r="R49" s="17"/>
      <c r="S49" s="17"/>
      <c r="T49" s="17"/>
      <c r="U49" s="17"/>
      <c r="V49" s="17"/>
    </row>
    <row r="50" spans="16:22" ht="15.6" x14ac:dyDescent="0.6">
      <c r="P50" s="17"/>
      <c r="Q50" s="17"/>
      <c r="R50" s="17"/>
      <c r="S50" s="17"/>
      <c r="T50" s="17"/>
      <c r="U50" s="17"/>
      <c r="V50" s="17"/>
    </row>
  </sheetData>
  <sheetProtection algorithmName="SHA-512" hashValue="J/XEBeZm3W+KfbrGXgY5mFvWRjSPWwL7E6/00LyYHm8BBx0g1Fi2FtdlEIhuWpzF0Lw/jK6Txv3RjCjmHDCzXg==" saltValue="CG4+NDCcCehODpHAHPe2/g==" spinCount="100000" sheet="1" objects="1" scenarios="1"/>
  <mergeCells count="33">
    <mergeCell ref="I20:L20"/>
    <mergeCell ref="P6:S6"/>
    <mergeCell ref="P7:S7"/>
    <mergeCell ref="I24:L25"/>
    <mergeCell ref="P14:S15"/>
    <mergeCell ref="I6:L6"/>
    <mergeCell ref="I7:L7"/>
    <mergeCell ref="I9:L10"/>
    <mergeCell ref="P9:S10"/>
    <mergeCell ref="I12:L12"/>
    <mergeCell ref="I19:L19"/>
    <mergeCell ref="B16:E17"/>
    <mergeCell ref="B18:E19"/>
    <mergeCell ref="B6:E6"/>
    <mergeCell ref="B7:E7"/>
    <mergeCell ref="B9:E9"/>
    <mergeCell ref="B10:E10"/>
    <mergeCell ref="R33:S33"/>
    <mergeCell ref="U33:V33"/>
    <mergeCell ref="V6:Z6"/>
    <mergeCell ref="B1:X3"/>
    <mergeCell ref="I17:L17"/>
    <mergeCell ref="P17:S17"/>
    <mergeCell ref="D31:E31"/>
    <mergeCell ref="B27:E27"/>
    <mergeCell ref="B28:E28"/>
    <mergeCell ref="B29:E29"/>
    <mergeCell ref="G31:H31"/>
    <mergeCell ref="P24:S25"/>
    <mergeCell ref="P12:S12"/>
    <mergeCell ref="P19:S19"/>
    <mergeCell ref="P20:S20"/>
    <mergeCell ref="I14:L15"/>
  </mergeCells>
  <conditionalFormatting sqref="D37:D46 F37:F46 R39:R48 T39:T48">
    <cfRule type="cellIs" dxfId="3" priority="9" operator="lessThan">
      <formula>0</formula>
    </cfRule>
    <cfRule type="cellIs" dxfId="2" priority="10" operator="equal">
      <formula>0</formula>
    </cfRule>
  </conditionalFormatting>
  <conditionalFormatting sqref="V6">
    <cfRule type="expression" dxfId="1" priority="1">
      <formula>$T$6&lt;1000</formula>
    </cfRule>
    <cfRule type="expression" dxfId="0" priority="2">
      <formula>$T$6&gt;1000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7DC80-CF82-47A6-BE8E-61A4A87E2E0A}">
  <dimension ref="B1:AE45"/>
  <sheetViews>
    <sheetView showGridLines="0" workbookViewId="0">
      <selection activeCell="V15" sqref="V15:V16"/>
    </sheetView>
  </sheetViews>
  <sheetFormatPr defaultRowHeight="14.4" x14ac:dyDescent="0.55000000000000004"/>
  <cols>
    <col min="1" max="1" width="1.578125" customWidth="1"/>
    <col min="2" max="2" width="5.89453125" customWidth="1"/>
    <col min="3" max="3" width="6.734375" customWidth="1"/>
    <col min="4" max="4" width="7.41796875" customWidth="1"/>
    <col min="5" max="5" width="7.7890625" customWidth="1"/>
    <col min="6" max="6" width="2.26171875" customWidth="1"/>
    <col min="7" max="7" width="8.3671875" customWidth="1"/>
    <col min="8" max="8" width="9.578125" customWidth="1"/>
    <col min="9" max="9" width="8.3671875" customWidth="1"/>
    <col min="10" max="10" width="7.62890625" customWidth="1"/>
    <col min="11" max="11" width="8.89453125" customWidth="1"/>
    <col min="12" max="12" width="7.68359375" customWidth="1"/>
    <col min="13" max="13" width="2.734375" customWidth="1"/>
    <col min="14" max="14" width="7.9453125" customWidth="1"/>
    <col min="15" max="15" width="7.15625" customWidth="1"/>
    <col min="16" max="16" width="5.734375" customWidth="1"/>
    <col min="17" max="17" width="7.68359375" customWidth="1"/>
    <col min="18" max="18" width="8.83984375" customWidth="1"/>
    <col min="19" max="19" width="5.7890625" customWidth="1"/>
    <col min="20" max="20" width="6.734375" customWidth="1"/>
    <col min="21" max="21" width="2.62890625" customWidth="1"/>
    <col min="22" max="22" width="7.7890625" customWidth="1"/>
    <col min="23" max="23" width="10" customWidth="1"/>
    <col min="24" max="24" width="7.3125" customWidth="1"/>
    <col min="25" max="25" width="8" customWidth="1"/>
    <col min="28" max="28" width="2.62890625" customWidth="1"/>
    <col min="29" max="29" width="8.15625" customWidth="1"/>
    <col min="30" max="30" width="10" customWidth="1"/>
  </cols>
  <sheetData>
    <row r="1" spans="2:31" ht="14.4" customHeight="1" x14ac:dyDescent="0.55000000000000004">
      <c r="B1" s="47" t="s">
        <v>79</v>
      </c>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row>
    <row r="2" spans="2:31" ht="14.4" customHeight="1" x14ac:dyDescent="0.55000000000000004">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row>
    <row r="3" spans="2:31" ht="14.4" customHeight="1" x14ac:dyDescent="0.55000000000000004">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row>
    <row r="4" spans="2:31" ht="7.5" customHeight="1" x14ac:dyDescent="0.55000000000000004"/>
    <row r="5" spans="2:31" ht="18.3" x14ac:dyDescent="0.7">
      <c r="B5" s="23" t="s">
        <v>135</v>
      </c>
      <c r="C5" s="14"/>
      <c r="D5" s="15"/>
      <c r="E5" s="15"/>
      <c r="F5" s="14"/>
      <c r="G5" s="14"/>
      <c r="H5" s="15"/>
      <c r="I5" s="15"/>
      <c r="J5" s="15"/>
      <c r="K5" s="15"/>
      <c r="L5" s="15"/>
      <c r="M5" s="15"/>
      <c r="N5" s="15"/>
      <c r="O5" s="15"/>
      <c r="P5" s="16"/>
      <c r="Q5" s="23" t="s">
        <v>136</v>
      </c>
      <c r="R5" s="14"/>
      <c r="S5" s="15"/>
      <c r="T5" s="15"/>
      <c r="U5" s="14"/>
      <c r="V5" s="14"/>
      <c r="W5" s="15"/>
      <c r="X5" s="15"/>
      <c r="Y5" s="15"/>
      <c r="Z5" s="15"/>
      <c r="AA5" s="15"/>
      <c r="AB5" s="15"/>
      <c r="AC5" s="15"/>
      <c r="AD5" s="15"/>
    </row>
    <row r="6" spans="2:31" ht="7.2" customHeight="1" x14ac:dyDescent="0.6">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row>
    <row r="7" spans="2:31" ht="15.6" x14ac:dyDescent="0.6">
      <c r="B7" s="107" t="s">
        <v>80</v>
      </c>
      <c r="C7" s="110"/>
      <c r="D7" s="110"/>
      <c r="E7" s="110"/>
      <c r="F7" s="17"/>
      <c r="G7" s="17"/>
      <c r="H7" s="17"/>
      <c r="I7" s="107" t="s">
        <v>81</v>
      </c>
      <c r="J7" s="107"/>
      <c r="K7" s="107"/>
      <c r="L7" s="107"/>
      <c r="M7" s="17"/>
      <c r="N7" s="17"/>
      <c r="O7" s="17"/>
      <c r="P7" s="17"/>
      <c r="Q7" s="107" t="s">
        <v>80</v>
      </c>
      <c r="R7" s="110"/>
      <c r="S7" s="110"/>
      <c r="T7" s="110"/>
      <c r="U7" s="17"/>
      <c r="V7" s="17"/>
      <c r="W7" s="17"/>
      <c r="X7" s="107" t="s">
        <v>81</v>
      </c>
      <c r="Y7" s="107"/>
      <c r="Z7" s="107"/>
      <c r="AA7" s="107"/>
      <c r="AB7" s="17"/>
      <c r="AC7" s="17"/>
      <c r="AD7" s="17"/>
    </row>
    <row r="8" spans="2:31" ht="15.6" x14ac:dyDescent="0.6">
      <c r="B8" s="107"/>
      <c r="C8" s="110"/>
      <c r="D8" s="110"/>
      <c r="E8" s="110"/>
      <c r="F8" s="17"/>
      <c r="G8" s="104">
        <f>SUM(Berekeningen!$F$18,'Algemene gegevens'!$U$16,('Algemene gegevens'!$L$19/'Algemene gegevens'!$L$13/'Algemene gegevens'!$E$6),Berekeningen!$H$32,('Algemene gegevens'!$E$19/'Algemene gegevens'!$E$13/'Algemene gegevens'!$E$6),Berekeningen!$V$34,'Algemene gegevens'!$U$13/30)</f>
        <v>131.76043956043955</v>
      </c>
      <c r="H8" s="103" t="s">
        <v>35</v>
      </c>
      <c r="I8" s="107"/>
      <c r="J8" s="107"/>
      <c r="K8" s="107"/>
      <c r="L8" s="107"/>
      <c r="M8" s="17"/>
      <c r="N8" s="104">
        <f>SUM(Berekeningen!$F$18,'Algemene gegevens'!$U$15,('Algemene gegevens'!$E$19/'Algemene gegevens'!$E$13/'Algemene gegevens'!$E$6),Berekeningen!$H$32,'Algemene gegevens'!$U$13/30)</f>
        <v>199.08424908424908</v>
      </c>
      <c r="O8" s="103" t="s">
        <v>35</v>
      </c>
      <c r="P8" s="17"/>
      <c r="Q8" s="107"/>
      <c r="R8" s="110"/>
      <c r="S8" s="110"/>
      <c r="T8" s="110"/>
      <c r="U8" s="17"/>
      <c r="V8" s="104">
        <f>SUM(Berekeningen!$F$18,'Algemene gegevens'!$U$16,('Algemene gegevens'!$L$19/'Algemene gegevens'!$L$13/'Algemene gegevens'!$E$6),Berekeningen!$V$34,'Algemene gegevens'!$U$13/30)</f>
        <v>115.18901098901101</v>
      </c>
      <c r="W8" s="108" t="s">
        <v>35</v>
      </c>
      <c r="X8" s="107"/>
      <c r="Y8" s="107"/>
      <c r="Z8" s="107"/>
      <c r="AA8" s="107"/>
      <c r="AB8" s="17"/>
      <c r="AC8" s="104">
        <f>SUM(Berekeningen!$F$18,'Algemene gegevens'!$U$15,'Algemene gegevens'!$U$13/30)</f>
        <v>182.51282051282053</v>
      </c>
      <c r="AD8" s="103" t="s">
        <v>35</v>
      </c>
    </row>
    <row r="9" spans="2:31" ht="15.6" x14ac:dyDescent="0.6">
      <c r="B9" s="110"/>
      <c r="C9" s="110"/>
      <c r="D9" s="110"/>
      <c r="E9" s="110"/>
      <c r="F9" s="17"/>
      <c r="G9" s="109"/>
      <c r="H9" s="103"/>
      <c r="I9" s="107"/>
      <c r="J9" s="107"/>
      <c r="K9" s="107"/>
      <c r="L9" s="107"/>
      <c r="M9" s="17"/>
      <c r="N9" s="105"/>
      <c r="O9" s="103"/>
      <c r="P9" s="17"/>
      <c r="Q9" s="110"/>
      <c r="R9" s="110"/>
      <c r="S9" s="110"/>
      <c r="T9" s="110"/>
      <c r="U9" s="17"/>
      <c r="V9" s="105"/>
      <c r="W9" s="108"/>
      <c r="X9" s="107"/>
      <c r="Y9" s="107"/>
      <c r="Z9" s="107"/>
      <c r="AA9" s="107"/>
      <c r="AB9" s="17"/>
      <c r="AC9" s="105"/>
      <c r="AD9" s="103"/>
    </row>
    <row r="10" spans="2:31" ht="15.6" x14ac:dyDescent="0.6">
      <c r="B10" s="110"/>
      <c r="C10" s="110"/>
      <c r="D10" s="110"/>
      <c r="E10" s="110"/>
      <c r="F10" s="17"/>
      <c r="G10" s="29"/>
      <c r="H10" s="17"/>
      <c r="I10" s="107"/>
      <c r="J10" s="107"/>
      <c r="K10" s="107"/>
      <c r="L10" s="107"/>
      <c r="M10" s="17"/>
      <c r="N10" s="17"/>
      <c r="O10" s="17"/>
      <c r="P10" s="17"/>
      <c r="Q10" s="110"/>
      <c r="R10" s="110"/>
      <c r="S10" s="110"/>
      <c r="T10" s="110"/>
      <c r="U10" s="17"/>
      <c r="V10" s="17"/>
      <c r="W10" s="17"/>
      <c r="X10" s="107"/>
      <c r="Y10" s="107"/>
      <c r="Z10" s="107"/>
      <c r="AA10" s="107"/>
      <c r="AB10" s="17"/>
      <c r="AC10" s="17"/>
      <c r="AD10" s="17"/>
    </row>
    <row r="11" spans="2:31" ht="6.9" customHeight="1" x14ac:dyDescent="0.6">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row>
    <row r="12" spans="2:31" ht="18.3" x14ac:dyDescent="0.7">
      <c r="B12" s="23" t="s">
        <v>137</v>
      </c>
      <c r="C12" s="14"/>
      <c r="D12" s="15"/>
      <c r="E12" s="15"/>
      <c r="F12" s="14"/>
      <c r="G12" s="14"/>
      <c r="H12" s="15"/>
      <c r="I12" s="15"/>
      <c r="J12" s="15"/>
      <c r="K12" s="15"/>
      <c r="L12" s="15"/>
      <c r="M12" s="15"/>
      <c r="N12" s="15"/>
      <c r="O12" s="15"/>
      <c r="P12" s="16"/>
      <c r="Q12" s="23" t="s">
        <v>138</v>
      </c>
      <c r="R12" s="14"/>
      <c r="S12" s="15"/>
      <c r="T12" s="15"/>
      <c r="U12" s="14"/>
      <c r="V12" s="14"/>
      <c r="W12" s="15"/>
      <c r="X12" s="15"/>
      <c r="Y12" s="15"/>
      <c r="Z12" s="15"/>
      <c r="AA12" s="15"/>
      <c r="AB12" s="15"/>
      <c r="AC12" s="15"/>
      <c r="AD12" s="15"/>
      <c r="AE12" s="1"/>
    </row>
    <row r="13" spans="2:31" ht="6.9" customHeight="1" x14ac:dyDescent="0.6">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row>
    <row r="14" spans="2:31" ht="15.6" x14ac:dyDescent="0.6">
      <c r="B14" s="111" t="s">
        <v>82</v>
      </c>
      <c r="C14" s="112"/>
      <c r="D14" s="112"/>
      <c r="E14" s="113"/>
      <c r="F14" s="17"/>
      <c r="G14" s="17"/>
      <c r="H14" s="17"/>
      <c r="I14" s="111" t="s">
        <v>84</v>
      </c>
      <c r="J14" s="112"/>
      <c r="K14" s="112"/>
      <c r="L14" s="113"/>
      <c r="M14" s="17"/>
      <c r="N14" s="17"/>
      <c r="O14" s="17"/>
      <c r="P14" s="17"/>
      <c r="Q14" s="107" t="s">
        <v>82</v>
      </c>
      <c r="R14" s="107"/>
      <c r="S14" s="107"/>
      <c r="T14" s="107"/>
      <c r="U14" s="17"/>
      <c r="V14" s="17"/>
      <c r="W14" s="17"/>
      <c r="X14" s="107" t="s">
        <v>84</v>
      </c>
      <c r="Y14" s="107"/>
      <c r="Z14" s="107"/>
      <c r="AA14" s="107"/>
      <c r="AB14" s="17"/>
      <c r="AC14" s="17"/>
      <c r="AD14" s="17"/>
    </row>
    <row r="15" spans="2:31" ht="15.6" x14ac:dyDescent="0.6">
      <c r="B15" s="114"/>
      <c r="C15" s="70"/>
      <c r="D15" s="70"/>
      <c r="E15" s="115"/>
      <c r="F15" s="17"/>
      <c r="G15" s="104">
        <f>SUM(Berekeningen!$M$19,Berekeningen!$M$20,'Algemene gegevens'!$U$16,'Algemene gegevens'!$E$19/'Algemene gegevens'!$E$13/'Algemene gegevens'!$E$6,Berekeningen!$H$32,'Algemene gegevens'!$U$14*Berekeningen!$M$6/1000,'Algemene gegevens'!$L$19/'Algemene gegevens'!$L$13/'Algemene gegevens'!$E$6,Berekeningen!$V$34,'Algemene gegevens'!$U$13/30)</f>
        <v>110.20659340659343</v>
      </c>
      <c r="H15" s="108" t="s">
        <v>35</v>
      </c>
      <c r="I15" s="114"/>
      <c r="J15" s="70"/>
      <c r="K15" s="70"/>
      <c r="L15" s="115"/>
      <c r="M15" s="17"/>
      <c r="N15" s="104">
        <f>SUM(Berekeningen!$M$19,Berekeningen!$M$20,'Algemene gegevens'!$U$15,'Algemene gegevens'!$E$19/'Algemene gegevens'!$E$13/'Algemene gegevens'!$E$6,Berekeningen!$H$32,'Algemene gegevens'!$U$14*Berekeningen!$M$6/1000,'Algemene gegevens'!$U$13/30)</f>
        <v>177.53040293040291</v>
      </c>
      <c r="O15" s="103" t="s">
        <v>35</v>
      </c>
      <c r="P15" s="17"/>
      <c r="Q15" s="107"/>
      <c r="R15" s="107"/>
      <c r="S15" s="107"/>
      <c r="T15" s="107"/>
      <c r="U15" s="17"/>
      <c r="V15" s="104">
        <f>SUM(Berekeningen!$M$19,Berekeningen!$M$20,'Algemene gegevens'!$U$16,'Algemene gegevens'!$U$14*Berekeningen!$M$6/1000,'Algemene gegevens'!$L$19/'Algemene gegevens'!$L$13/'Algemene gegevens'!$E$6,Berekeningen!$V$34,'Algemene gegevens'!$U$13/30)</f>
        <v>93.635164835164844</v>
      </c>
      <c r="W15" s="108" t="s">
        <v>35</v>
      </c>
      <c r="X15" s="107"/>
      <c r="Y15" s="107"/>
      <c r="Z15" s="107"/>
      <c r="AA15" s="107"/>
      <c r="AB15" s="17"/>
      <c r="AC15" s="104">
        <f>SUM(Berekeningen!$M$19,Berekeningen!$M$20,'Algemene gegevens'!$U$15,'Algemene gegevens'!$U$14*Berekeningen!$M$6/1000,'Algemene gegevens'!$U$13/30)</f>
        <v>160.95897435897436</v>
      </c>
      <c r="AD15" s="103" t="s">
        <v>35</v>
      </c>
    </row>
    <row r="16" spans="2:31" ht="15.6" x14ac:dyDescent="0.6">
      <c r="B16" s="114"/>
      <c r="C16" s="70"/>
      <c r="D16" s="70"/>
      <c r="E16" s="115"/>
      <c r="F16" s="17"/>
      <c r="G16" s="105"/>
      <c r="H16" s="108"/>
      <c r="I16" s="114"/>
      <c r="J16" s="70"/>
      <c r="K16" s="70"/>
      <c r="L16" s="115"/>
      <c r="M16" s="17"/>
      <c r="N16" s="105"/>
      <c r="O16" s="103"/>
      <c r="P16" s="17"/>
      <c r="Q16" s="107"/>
      <c r="R16" s="107"/>
      <c r="S16" s="107"/>
      <c r="T16" s="107"/>
      <c r="U16" s="17"/>
      <c r="V16" s="105"/>
      <c r="W16" s="108"/>
      <c r="X16" s="107"/>
      <c r="Y16" s="107"/>
      <c r="Z16" s="107"/>
      <c r="AA16" s="107"/>
      <c r="AB16" s="17"/>
      <c r="AC16" s="105"/>
      <c r="AD16" s="103"/>
    </row>
    <row r="17" spans="2:30" ht="15.6" x14ac:dyDescent="0.6">
      <c r="B17" s="116"/>
      <c r="C17" s="117"/>
      <c r="D17" s="117"/>
      <c r="E17" s="118"/>
      <c r="F17" s="17"/>
      <c r="G17" s="17"/>
      <c r="H17" s="17"/>
      <c r="I17" s="116"/>
      <c r="J17" s="117"/>
      <c r="K17" s="117"/>
      <c r="L17" s="118"/>
      <c r="M17" s="17"/>
      <c r="N17" s="17"/>
      <c r="O17" s="17"/>
      <c r="P17" s="17"/>
      <c r="Q17" s="107"/>
      <c r="R17" s="107"/>
      <c r="S17" s="107"/>
      <c r="T17" s="107"/>
      <c r="U17" s="17"/>
      <c r="V17" s="17"/>
      <c r="W17" s="17"/>
      <c r="X17" s="107"/>
      <c r="Y17" s="107"/>
      <c r="Z17" s="107"/>
      <c r="AA17" s="107"/>
      <c r="AB17" s="17"/>
      <c r="AC17" s="17"/>
      <c r="AD17" s="17"/>
    </row>
    <row r="18" spans="2:30" ht="7.8" customHeight="1" x14ac:dyDescent="0.6">
      <c r="B18" s="17"/>
      <c r="C18" s="17"/>
      <c r="D18" s="17"/>
      <c r="E18" s="17"/>
      <c r="F18" s="17"/>
      <c r="G18" s="16"/>
      <c r="H18" s="16"/>
      <c r="I18" s="16"/>
      <c r="J18" s="16"/>
      <c r="K18" s="16"/>
      <c r="L18" s="16"/>
      <c r="M18" s="16"/>
      <c r="N18" s="16"/>
      <c r="O18" s="17"/>
      <c r="P18" s="17"/>
      <c r="Q18" s="17"/>
      <c r="R18" s="17"/>
      <c r="S18" s="17"/>
      <c r="T18" s="17"/>
      <c r="U18" s="17"/>
      <c r="V18" s="16"/>
      <c r="W18" s="16"/>
      <c r="X18" s="16"/>
      <c r="Y18" s="16"/>
      <c r="Z18" s="16"/>
      <c r="AA18" s="16"/>
      <c r="AB18" s="16"/>
      <c r="AC18" s="16"/>
      <c r="AD18" s="17"/>
    </row>
    <row r="19" spans="2:30" ht="6.3" customHeight="1" x14ac:dyDescent="0.6">
      <c r="B19" s="17"/>
      <c r="C19" s="17"/>
      <c r="D19" s="17"/>
      <c r="E19" s="17"/>
      <c r="F19" s="17"/>
      <c r="G19" s="17"/>
      <c r="H19" s="17"/>
      <c r="I19" s="17"/>
      <c r="J19" s="17"/>
      <c r="K19" s="17"/>
      <c r="L19" s="17"/>
      <c r="M19" s="17"/>
      <c r="N19" s="17"/>
      <c r="O19" s="17"/>
      <c r="P19" s="17"/>
      <c r="Q19" s="17"/>
      <c r="R19" s="17"/>
      <c r="S19" s="17"/>
      <c r="T19" s="17"/>
      <c r="U19" s="17"/>
      <c r="V19" s="16"/>
      <c r="W19" s="16"/>
      <c r="X19" s="16"/>
      <c r="Y19" s="16"/>
      <c r="Z19" s="16"/>
      <c r="AA19" s="16"/>
      <c r="AB19" s="16"/>
      <c r="AC19" s="16"/>
      <c r="AD19" s="17"/>
    </row>
    <row r="20" spans="2:30" ht="15.6" x14ac:dyDescent="0.6">
      <c r="B20" s="107" t="s">
        <v>83</v>
      </c>
      <c r="C20" s="107"/>
      <c r="D20" s="107"/>
      <c r="E20" s="107"/>
      <c r="F20" s="17"/>
      <c r="G20" s="17"/>
      <c r="H20" s="16"/>
      <c r="I20" s="107" t="s">
        <v>85</v>
      </c>
      <c r="J20" s="107"/>
      <c r="K20" s="107"/>
      <c r="L20" s="107"/>
      <c r="M20" s="16"/>
      <c r="N20" s="17"/>
      <c r="O20" s="17"/>
      <c r="P20" s="17"/>
      <c r="Q20" s="107" t="s">
        <v>83</v>
      </c>
      <c r="R20" s="107"/>
      <c r="S20" s="107"/>
      <c r="T20" s="107"/>
      <c r="U20" s="17"/>
      <c r="V20" s="17"/>
      <c r="W20" s="16"/>
      <c r="X20" s="107" t="s">
        <v>85</v>
      </c>
      <c r="Y20" s="107"/>
      <c r="Z20" s="107"/>
      <c r="AA20" s="107"/>
      <c r="AB20" s="16"/>
      <c r="AC20" s="17"/>
      <c r="AD20" s="17"/>
    </row>
    <row r="21" spans="2:30" ht="14.4" customHeight="1" x14ac:dyDescent="0.6">
      <c r="B21" s="107"/>
      <c r="C21" s="107"/>
      <c r="D21" s="107"/>
      <c r="E21" s="107"/>
      <c r="F21" s="17"/>
      <c r="G21" s="104">
        <f>SUM(Berekeningen!$T$19,Berekeningen!$T$20,'Algemene gegevens'!$U$16,'Algemene gegevens'!$E$19/'Algemene gegevens'!$E$13/'Algemene gegevens'!$E$6,Berekeningen!$H$32,'Algemene gegevens'!$L$19/'Algemene gegevens'!$L$13/'Algemene gegevens'!$E$6,Berekeningen!$V$34,'Algemene gegevens'!U14*Berekeningen!$T$6/1000,'Algemene gegevens'!$U$13/30)</f>
        <v>113.43967032967036</v>
      </c>
      <c r="H21" s="106" t="s">
        <v>35</v>
      </c>
      <c r="I21" s="107"/>
      <c r="J21" s="107"/>
      <c r="K21" s="107"/>
      <c r="L21" s="107"/>
      <c r="M21" s="16"/>
      <c r="N21" s="104">
        <f>SUM(Berekeningen!$T$19,Berekeningen!$T$20,'Algemene gegevens'!$U$15,'Algemene gegevens'!$E$19/'Algemene gegevens'!$E$13/'Algemene gegevens'!$E$6,Berekeningen!$H$32,'Algemene gegevens'!$U$14*Berekeningen!$T$6/1000,'Algemene gegevens'!$U$13/30)</f>
        <v>180.76347985347985</v>
      </c>
      <c r="O21" s="103" t="s">
        <v>35</v>
      </c>
      <c r="P21" s="17"/>
      <c r="Q21" s="107"/>
      <c r="R21" s="107"/>
      <c r="S21" s="107"/>
      <c r="T21" s="107"/>
      <c r="U21" s="17"/>
      <c r="V21" s="104">
        <f>SUM(Berekeningen!$T$19,Berekeningen!$T$20,'Algemene gegevens'!$U$16,'Algemene gegevens'!$U$14*Berekeningen!$T$6/1000,'Algemene gegevens'!$L$19/'Algemene gegevens'!$L$13/'Algemene gegevens'!$E$6,Berekeningen!$V$34,'Algemene gegevens'!$U$13/30)</f>
        <v>96.86824175824178</v>
      </c>
      <c r="W21" s="106" t="s">
        <v>35</v>
      </c>
      <c r="X21" s="107"/>
      <c r="Y21" s="107"/>
      <c r="Z21" s="107"/>
      <c r="AA21" s="107"/>
      <c r="AB21" s="16"/>
      <c r="AC21" s="104">
        <f>SUM(Berekeningen!$T$19,Berekeningen!$T$20,'Algemene gegevens'!$U$15,'Algemene gegevens'!$U$14*Berekeningen!$T$6/1000,'Algemene gegevens'!$U$13/30)</f>
        <v>164.1920512820513</v>
      </c>
      <c r="AD21" s="103" t="s">
        <v>35</v>
      </c>
    </row>
    <row r="22" spans="2:30" ht="15.6" x14ac:dyDescent="0.6">
      <c r="B22" s="107"/>
      <c r="C22" s="107"/>
      <c r="D22" s="107"/>
      <c r="E22" s="107"/>
      <c r="F22" s="17"/>
      <c r="G22" s="105"/>
      <c r="H22" s="106"/>
      <c r="I22" s="107"/>
      <c r="J22" s="107"/>
      <c r="K22" s="107"/>
      <c r="L22" s="107"/>
      <c r="M22" s="16"/>
      <c r="N22" s="105"/>
      <c r="O22" s="103"/>
      <c r="P22" s="17"/>
      <c r="Q22" s="107"/>
      <c r="R22" s="107"/>
      <c r="S22" s="107"/>
      <c r="T22" s="107"/>
      <c r="U22" s="17"/>
      <c r="V22" s="105"/>
      <c r="W22" s="106"/>
      <c r="X22" s="107"/>
      <c r="Y22" s="107"/>
      <c r="Z22" s="107"/>
      <c r="AA22" s="107"/>
      <c r="AB22" s="16"/>
      <c r="AC22" s="105"/>
      <c r="AD22" s="103"/>
    </row>
    <row r="23" spans="2:30" ht="15.6" x14ac:dyDescent="0.6">
      <c r="B23" s="107"/>
      <c r="C23" s="107"/>
      <c r="D23" s="107"/>
      <c r="E23" s="107"/>
      <c r="F23" s="17"/>
      <c r="G23" s="17"/>
      <c r="H23" s="16"/>
      <c r="I23" s="107"/>
      <c r="J23" s="107"/>
      <c r="K23" s="107"/>
      <c r="L23" s="107"/>
      <c r="M23" s="16"/>
      <c r="N23" s="17"/>
      <c r="O23" s="17"/>
      <c r="P23" s="17"/>
      <c r="Q23" s="107"/>
      <c r="R23" s="107"/>
      <c r="S23" s="107"/>
      <c r="T23" s="107"/>
      <c r="U23" s="17"/>
      <c r="V23" s="17"/>
      <c r="W23" s="16"/>
      <c r="X23" s="107"/>
      <c r="Y23" s="107"/>
      <c r="Z23" s="107"/>
      <c r="AA23" s="107"/>
      <c r="AB23" s="16"/>
      <c r="AC23" s="17"/>
      <c r="AD23" s="17"/>
    </row>
    <row r="24" spans="2:30" ht="6.3" customHeight="1" x14ac:dyDescent="0.55000000000000004"/>
    <row r="25" spans="2:30" ht="6.3" customHeight="1" x14ac:dyDescent="0.55000000000000004"/>
    <row r="26" spans="2:30" ht="6.3" customHeight="1" x14ac:dyDescent="0.55000000000000004"/>
    <row r="27" spans="2:30" ht="18.3" customHeight="1" x14ac:dyDescent="0.7">
      <c r="B27" s="38" t="s">
        <v>143</v>
      </c>
      <c r="C27" s="14"/>
      <c r="D27" s="15"/>
      <c r="E27" s="15"/>
      <c r="F27" s="14"/>
      <c r="G27" s="14"/>
      <c r="H27" s="15"/>
      <c r="I27" s="15"/>
      <c r="J27" s="15"/>
      <c r="K27" s="15"/>
      <c r="L27" s="15"/>
      <c r="M27" s="15"/>
      <c r="N27" s="15"/>
      <c r="O27" s="15"/>
      <c r="Q27" s="38" t="s">
        <v>59</v>
      </c>
      <c r="R27" s="14"/>
      <c r="S27" s="15"/>
      <c r="T27" s="15"/>
      <c r="U27" s="14"/>
      <c r="V27" s="14"/>
      <c r="W27" s="15"/>
      <c r="X27" s="15"/>
      <c r="Y27" s="15"/>
      <c r="Z27" s="15"/>
      <c r="AA27" s="15"/>
      <c r="AB27" s="15"/>
      <c r="AC27" s="15"/>
      <c r="AD27" s="15"/>
    </row>
    <row r="28" spans="2:30" ht="12.6" customHeight="1" x14ac:dyDescent="0.55000000000000004">
      <c r="Q28" s="10" t="s">
        <v>144</v>
      </c>
    </row>
    <row r="29" spans="2:30" x14ac:dyDescent="0.55000000000000004">
      <c r="B29" s="107" t="str">
        <f>IF($G$30=$G$8,$B$7,IF($G$30=$N$8,$I$7,IF($G$30=$V$8,$Q$7,IF($G$30=$AC$8,$X$7,IF($G$30=$G$15,$B$14,IF($G$30=$G$21,$B$20,IF($G$30=$N$15,$I$14,IF($G$30=$N$21,$I$20,IF($G$30=$V$15,$Q$14,IF($G$30=$V$21,$Q$20,IF($G$30=$AC$15,$X$14,IF($G$30=$AC$21,$X$20," "))))))))))))</f>
        <v>Totale kost voor zelf toepassen van combinatie 1000l spuiwater/ha aangevuld met kunstmest (urean)</v>
      </c>
      <c r="C29" s="110"/>
      <c r="D29" s="110"/>
      <c r="E29" s="110"/>
      <c r="Q29" s="10" t="s">
        <v>145</v>
      </c>
    </row>
    <row r="30" spans="2:30" x14ac:dyDescent="0.55000000000000004">
      <c r="B30" s="107"/>
      <c r="C30" s="110"/>
      <c r="D30" s="110"/>
      <c r="E30" s="110"/>
      <c r="G30" s="104">
        <f>MIN(G8,N8,V8,AC8,AC15,AC21,V21,V15,N15,N21,G15,G21)</f>
        <v>93.635164835164844</v>
      </c>
      <c r="H30" s="103" t="s">
        <v>35</v>
      </c>
      <c r="Q30" s="10" t="s">
        <v>154</v>
      </c>
    </row>
    <row r="31" spans="2:30" x14ac:dyDescent="0.55000000000000004">
      <c r="B31" s="110"/>
      <c r="C31" s="110"/>
      <c r="D31" s="110"/>
      <c r="E31" s="110"/>
      <c r="G31" s="105"/>
      <c r="H31" s="103"/>
      <c r="Q31" s="10" t="s">
        <v>146</v>
      </c>
    </row>
    <row r="32" spans="2:30" ht="18.3" customHeight="1" x14ac:dyDescent="0.55000000000000004">
      <c r="B32" s="110"/>
      <c r="C32" s="110"/>
      <c r="D32" s="110"/>
      <c r="E32" s="110"/>
      <c r="R32" t="s">
        <v>104</v>
      </c>
      <c r="S32" s="39" t="s">
        <v>147</v>
      </c>
    </row>
    <row r="33" spans="2:14" x14ac:dyDescent="0.55000000000000004">
      <c r="B33" t="str">
        <f>IF($G$30=$G$8,"Eigen opslag",IF($G$30=$N$8,"Eigen opslag",IF($G$30=$V$8,"Geen eigen opslag",IF($G$30=$AC$8,"Geen eigen opslag",IF($G$30=$G$15,"Eigen opslag",IF($G$30=$G$21,"Eigen opslag",IF($G$30=$N$15,"Eigen opslag",IF($G$30=$N$21,"Eigen opslag",IF($G$30=$V$15,"Geen eigen opslag",IF($G$30=$V$21,"Geen eigen opslag",IF($G$30=$AC$15,"Geen eigen opslag",IF($G$30=$AC$21,"Geen eigen opslag"," "))))))))))))</f>
        <v>Geen eigen opslag</v>
      </c>
    </row>
    <row r="41" spans="2:14" ht="14.4" customHeight="1" x14ac:dyDescent="0.55000000000000004"/>
    <row r="42" spans="2:14" ht="14.4" customHeight="1" x14ac:dyDescent="0.55000000000000004"/>
    <row r="45" spans="2:14" x14ac:dyDescent="0.55000000000000004">
      <c r="G45" s="1"/>
      <c r="H45" s="1"/>
      <c r="I45" s="1"/>
      <c r="J45" s="1"/>
      <c r="K45" s="1"/>
      <c r="L45" s="1"/>
      <c r="M45" s="1"/>
      <c r="N45" s="1"/>
    </row>
  </sheetData>
  <sheetProtection algorithmName="SHA-512" hashValue="HMRa7w7GsOw+wJyE/8sBocu2mOeYXKDgxkkV4yCNIoe70l3uagVx3qfikzzJUppM4AKe/OEWHrqUmhjg7WACBQ==" saltValue="NJvCNz9YeHIvf3BYPN812A==" spinCount="100000" sheet="1" objects="1" scenarios="1"/>
  <mergeCells count="40">
    <mergeCell ref="B29:E32"/>
    <mergeCell ref="G30:G31"/>
    <mergeCell ref="H30:H31"/>
    <mergeCell ref="B20:E23"/>
    <mergeCell ref="I20:L23"/>
    <mergeCell ref="G21:G22"/>
    <mergeCell ref="H21:H22"/>
    <mergeCell ref="G15:G16"/>
    <mergeCell ref="H15:H16"/>
    <mergeCell ref="B14:E17"/>
    <mergeCell ref="I14:L17"/>
    <mergeCell ref="N15:N16"/>
    <mergeCell ref="G8:G9"/>
    <mergeCell ref="H8:H9"/>
    <mergeCell ref="B1:AD3"/>
    <mergeCell ref="N8:N9"/>
    <mergeCell ref="O8:O9"/>
    <mergeCell ref="V8:V9"/>
    <mergeCell ref="W8:W9"/>
    <mergeCell ref="AC8:AC9"/>
    <mergeCell ref="AD8:AD9"/>
    <mergeCell ref="B7:E10"/>
    <mergeCell ref="I7:L10"/>
    <mergeCell ref="Q7:T10"/>
    <mergeCell ref="X7:AA10"/>
    <mergeCell ref="AD15:AD16"/>
    <mergeCell ref="AC21:AC22"/>
    <mergeCell ref="AD21:AD22"/>
    <mergeCell ref="N21:N22"/>
    <mergeCell ref="O21:O22"/>
    <mergeCell ref="V21:V22"/>
    <mergeCell ref="W21:W22"/>
    <mergeCell ref="AC15:AC16"/>
    <mergeCell ref="Q20:T23"/>
    <mergeCell ref="X20:AA23"/>
    <mergeCell ref="V15:V16"/>
    <mergeCell ref="W15:W16"/>
    <mergeCell ref="Q14:T17"/>
    <mergeCell ref="X14:AA17"/>
    <mergeCell ref="O15:O16"/>
  </mergeCells>
  <hyperlinks>
    <hyperlink ref="S32" r:id="rId1" xr:uid="{CC0AFCF5-8D6E-4154-BDE0-FD5171133374}"/>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6</vt:i4>
      </vt:variant>
    </vt:vector>
  </HeadingPairs>
  <TitlesOfParts>
    <vt:vector size="6" baseType="lpstr">
      <vt:lpstr>Voorblad</vt:lpstr>
      <vt:lpstr>Werkwijze</vt:lpstr>
      <vt:lpstr>Algemene gegevens</vt:lpstr>
      <vt:lpstr>Mogelijkheden</vt:lpstr>
      <vt:lpstr>Berekeningen</vt:lpstr>
      <vt:lpstr>Conclusies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Astrid</dc:creator>
  <cp:lastModifiedBy>Astrid</cp:lastModifiedBy>
  <cp:lastPrinted>2019-08-22T13:43:53Z</cp:lastPrinted>
  <dcterms:created xsi:type="dcterms:W3CDTF">2019-08-22T12:32:31Z</dcterms:created>
  <dcterms:modified xsi:type="dcterms:W3CDTF">2019-12-18T13:52:17Z</dcterms:modified>
</cp:coreProperties>
</file>